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\Documents\AMAZON Textbook\Amamzon Web - Student data files\"/>
    </mc:Choice>
  </mc:AlternateContent>
  <xr:revisionPtr revIDLastSave="0" documentId="8_{29EAA49C-BCA3-4586-A639-93AC7450952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X11.1-5" sheetId="70" r:id="rId1"/>
    <sheet name="X11.6-10" sheetId="71" r:id="rId2"/>
    <sheet name="X11.11-15" sheetId="72" r:id="rId3"/>
    <sheet name="X11.16" sheetId="76" r:id="rId4"/>
    <sheet name="X11.17" sheetId="98" r:id="rId5"/>
    <sheet name="X11.18" sheetId="75" r:id="rId6"/>
    <sheet name="X11.19" sheetId="78" r:id="rId7"/>
    <sheet name="X11.20" sheetId="81" r:id="rId8"/>
    <sheet name="TU11.1" sheetId="92" r:id="rId9"/>
    <sheet name="TU11.2" sheetId="93" r:id="rId10"/>
    <sheet name="TU11.3" sheetId="94" r:id="rId11"/>
    <sheet name="TU11.4" sheetId="95" r:id="rId12"/>
    <sheet name="TU11.5" sheetId="96" r:id="rId13"/>
    <sheet name="TU11.6" sheetId="97" r:id="rId14"/>
  </sheets>
  <definedNames>
    <definedName name="Alpha" localSheetId="3">#REF!</definedName>
    <definedName name="Alpha" localSheetId="5">#REF!</definedName>
    <definedName name="Alpha" localSheetId="6">#REF!</definedName>
    <definedName name="Alpha" localSheetId="7">#REF!</definedName>
    <definedName name="Alpha">#REF!</definedName>
    <definedName name="solver_adj" localSheetId="11" hidden="1">'TU11.4'!$P$1</definedName>
    <definedName name="solver_adj" localSheetId="6" hidden="1">'X11.19'!$J$3:$J$5</definedName>
    <definedName name="solver_cvg" localSheetId="11" hidden="1">0.0001</definedName>
    <definedName name="solver_cvg" localSheetId="6" hidden="1">0.0001</definedName>
    <definedName name="solver_drv" localSheetId="11" hidden="1">1</definedName>
    <definedName name="solver_drv" localSheetId="6" hidden="1">1</definedName>
    <definedName name="solver_eng" localSheetId="11" hidden="1">1</definedName>
    <definedName name="solver_eng" localSheetId="6" hidden="1">1</definedName>
    <definedName name="solver_est" localSheetId="11" hidden="1">1</definedName>
    <definedName name="solver_est" localSheetId="6" hidden="1">1</definedName>
    <definedName name="solver_itr" localSheetId="11" hidden="1">2147483647</definedName>
    <definedName name="solver_itr" localSheetId="6" hidden="1">2147483647</definedName>
    <definedName name="solver_lhs1" localSheetId="11" hidden="1">'TU11.4'!$P$1</definedName>
    <definedName name="solver_lhs1" localSheetId="6" hidden="1">'X11.19'!$J$3</definedName>
    <definedName name="solver_lhs2" localSheetId="11" hidden="1">'TU11.4'!$P$1</definedName>
    <definedName name="solver_lhs2" localSheetId="6" hidden="1">'X11.19'!$J$3</definedName>
    <definedName name="solver_lhs3" localSheetId="6" hidden="1">'X11.19'!$J$4</definedName>
    <definedName name="solver_lhs4" localSheetId="6" hidden="1">'X11.19'!$J$4</definedName>
    <definedName name="solver_lhs5" localSheetId="6" hidden="1">'X11.19'!$J$5</definedName>
    <definedName name="solver_lhs6" localSheetId="6" hidden="1">'X11.19'!$J$5</definedName>
    <definedName name="solver_mip" localSheetId="11" hidden="1">2147483647</definedName>
    <definedName name="solver_mip" localSheetId="6" hidden="1">2147483647</definedName>
    <definedName name="solver_mni" localSheetId="11" hidden="1">30</definedName>
    <definedName name="solver_mni" localSheetId="6" hidden="1">30</definedName>
    <definedName name="solver_mrt" localSheetId="11" hidden="1">0.075</definedName>
    <definedName name="solver_mrt" localSheetId="6" hidden="1">0.075</definedName>
    <definedName name="solver_msl" localSheetId="11" hidden="1">2</definedName>
    <definedName name="solver_msl" localSheetId="6" hidden="1">2</definedName>
    <definedName name="solver_neg" localSheetId="11" hidden="1">1</definedName>
    <definedName name="solver_neg" localSheetId="6" hidden="1">1</definedName>
    <definedName name="solver_nod" localSheetId="11" hidden="1">2147483647</definedName>
    <definedName name="solver_nod" localSheetId="6" hidden="1">2147483647</definedName>
    <definedName name="solver_num" localSheetId="11" hidden="1">2</definedName>
    <definedName name="solver_num" localSheetId="6" hidden="1">6</definedName>
    <definedName name="solver_nwt" localSheetId="11" hidden="1">1</definedName>
    <definedName name="solver_nwt" localSheetId="6" hidden="1">1</definedName>
    <definedName name="solver_opt" localSheetId="11" hidden="1">'TU11.4'!$P$8</definedName>
    <definedName name="solver_opt" localSheetId="6" hidden="1">'X11.19'!$J$6</definedName>
    <definedName name="solver_pre" localSheetId="11" hidden="1">0.000001</definedName>
    <definedName name="solver_pre" localSheetId="6" hidden="1">0.000001</definedName>
    <definedName name="solver_rbv" localSheetId="11" hidden="1">1</definedName>
    <definedName name="solver_rbv" localSheetId="6" hidden="1">1</definedName>
    <definedName name="solver_rel1" localSheetId="11" hidden="1">1</definedName>
    <definedName name="solver_rel1" localSheetId="6" hidden="1">1</definedName>
    <definedName name="solver_rel2" localSheetId="11" hidden="1">3</definedName>
    <definedName name="solver_rel2" localSheetId="6" hidden="1">3</definedName>
    <definedName name="solver_rel3" localSheetId="6" hidden="1">1</definedName>
    <definedName name="solver_rel4" localSheetId="6" hidden="1">3</definedName>
    <definedName name="solver_rel5" localSheetId="6" hidden="1">1</definedName>
    <definedName name="solver_rel6" localSheetId="6" hidden="1">3</definedName>
    <definedName name="solver_rhs1" localSheetId="11" hidden="1">1</definedName>
    <definedName name="solver_rhs1" localSheetId="6" hidden="1">1</definedName>
    <definedName name="solver_rhs2" localSheetId="11" hidden="1">0</definedName>
    <definedName name="solver_rhs2" localSheetId="6" hidden="1">0</definedName>
    <definedName name="solver_rhs3" localSheetId="6" hidden="1">1</definedName>
    <definedName name="solver_rhs4" localSheetId="6" hidden="1">0</definedName>
    <definedName name="solver_rhs5" localSheetId="6" hidden="1">1-'X11.19'!$J$3</definedName>
    <definedName name="solver_rhs6" localSheetId="6" hidden="1">0</definedName>
    <definedName name="solver_rlx" localSheetId="11" hidden="1">2</definedName>
    <definedName name="solver_rlx" localSheetId="6" hidden="1">2</definedName>
    <definedName name="solver_rsd" localSheetId="11" hidden="1">0</definedName>
    <definedName name="solver_rsd" localSheetId="6" hidden="1">0</definedName>
    <definedName name="solver_scl" localSheetId="11" hidden="1">1</definedName>
    <definedName name="solver_scl" localSheetId="6" hidden="1">1</definedName>
    <definedName name="solver_sho" localSheetId="11" hidden="1">2</definedName>
    <definedName name="solver_sho" localSheetId="6" hidden="1">2</definedName>
    <definedName name="solver_ssz" localSheetId="11" hidden="1">100</definedName>
    <definedName name="solver_ssz" localSheetId="6" hidden="1">100</definedName>
    <definedName name="solver_tim" localSheetId="11" hidden="1">2147483647</definedName>
    <definedName name="solver_tim" localSheetId="6" hidden="1">2147483647</definedName>
    <definedName name="solver_tol" localSheetId="11" hidden="1">0.01</definedName>
    <definedName name="solver_tol" localSheetId="6" hidden="1">0.01</definedName>
    <definedName name="solver_typ" localSheetId="11" hidden="1">2</definedName>
    <definedName name="solver_typ" localSheetId="6" hidden="1">2</definedName>
    <definedName name="solver_val" localSheetId="11" hidden="1">0</definedName>
    <definedName name="solver_val" localSheetId="6" hidden="1">0</definedName>
    <definedName name="solver_ver" localSheetId="11" hidden="1">3</definedName>
    <definedName name="solver_ver" localSheetId="6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62" i="97" l="1"/>
  <c r="Y62" i="97"/>
  <c r="X63" i="97"/>
  <c r="Y63" i="97"/>
  <c r="Q13" i="97"/>
  <c r="Q12" i="97"/>
  <c r="W10" i="97"/>
  <c r="V10" i="97"/>
  <c r="U10" i="97"/>
  <c r="T10" i="97"/>
  <c r="S10" i="97"/>
  <c r="R10" i="97"/>
  <c r="W9" i="97" a="1"/>
  <c r="W9" i="97" s="1"/>
  <c r="V9" i="97" a="1"/>
  <c r="V9" i="97" s="1"/>
  <c r="U9" i="97" a="1"/>
  <c r="U9" i="97" s="1"/>
  <c r="T9" i="97" a="1"/>
  <c r="T9" i="97" s="1"/>
  <c r="S9" i="97" a="1"/>
  <c r="S9" i="97" s="1"/>
  <c r="R9" i="97" a="1"/>
  <c r="R9" i="97" s="1"/>
  <c r="W8" i="97" a="1"/>
  <c r="W8" i="97" s="1"/>
  <c r="V8" i="97" a="1"/>
  <c r="V8" i="97" s="1"/>
  <c r="U8" i="97" a="1"/>
  <c r="U8" i="97" s="1"/>
  <c r="T8" i="97" a="1"/>
  <c r="T8" i="97" s="1"/>
  <c r="S8" i="97" a="1"/>
  <c r="S8" i="97" s="1"/>
  <c r="R8" i="97" a="1"/>
  <c r="R8" i="97" s="1"/>
  <c r="W7" i="97"/>
  <c r="V7" i="97"/>
  <c r="U7" i="97"/>
  <c r="T7" i="97"/>
  <c r="S7" i="97"/>
  <c r="R7" i="97"/>
  <c r="W6" i="97"/>
  <c r="V6" i="97"/>
  <c r="U6" i="97"/>
  <c r="T6" i="97"/>
  <c r="S6" i="97"/>
  <c r="R6" i="97"/>
  <c r="W5" i="97" a="1"/>
  <c r="W5" i="97" s="1"/>
  <c r="V5" i="97" a="1"/>
  <c r="V5" i="97" s="1"/>
  <c r="U5" i="97" a="1"/>
  <c r="U5" i="97" s="1"/>
  <c r="T5" i="97" a="1"/>
  <c r="T5" i="97" s="1"/>
  <c r="S5" i="97" a="1"/>
  <c r="S5" i="97" s="1"/>
  <c r="R5" i="97" a="1"/>
  <c r="R5" i="97" s="1"/>
  <c r="W4" i="97"/>
  <c r="V4" i="97"/>
  <c r="U4" i="97"/>
  <c r="T4" i="97"/>
  <c r="S4" i="97"/>
  <c r="R4" i="97"/>
  <c r="O62" i="97"/>
  <c r="P62" i="97"/>
  <c r="J62" i="97"/>
  <c r="J63" i="97"/>
  <c r="I62" i="97"/>
  <c r="I63" i="97"/>
  <c r="H63" i="97"/>
  <c r="H62" i="97"/>
  <c r="H61" i="97"/>
  <c r="G5" i="97"/>
  <c r="G6" i="97"/>
  <c r="G7" i="97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22" i="97"/>
  <c r="G23" i="97"/>
  <c r="G24" i="97"/>
  <c r="G25" i="97"/>
  <c r="G26" i="97"/>
  <c r="G27" i="97"/>
  <c r="G28" i="97"/>
  <c r="G29" i="97"/>
  <c r="G30" i="97"/>
  <c r="G31" i="97"/>
  <c r="G32" i="97"/>
  <c r="G33" i="97"/>
  <c r="G34" i="97"/>
  <c r="G35" i="97"/>
  <c r="G36" i="97"/>
  <c r="G37" i="97"/>
  <c r="G38" i="97"/>
  <c r="G39" i="97"/>
  <c r="G40" i="97"/>
  <c r="G41" i="97"/>
  <c r="G42" i="97"/>
  <c r="G43" i="97"/>
  <c r="G44" i="97"/>
  <c r="G45" i="97"/>
  <c r="G46" i="97"/>
  <c r="G47" i="97"/>
  <c r="G48" i="97"/>
  <c r="G49" i="97"/>
  <c r="G50" i="97"/>
  <c r="G51" i="97"/>
  <c r="G52" i="97"/>
  <c r="G53" i="97"/>
  <c r="G54" i="97"/>
  <c r="G55" i="97"/>
  <c r="G56" i="97"/>
  <c r="G57" i="97"/>
  <c r="G58" i="97"/>
  <c r="G59" i="97"/>
  <c r="G60" i="97"/>
  <c r="G61" i="97"/>
  <c r="G62" i="97"/>
  <c r="N62" i="97" s="1"/>
  <c r="G63" i="97"/>
  <c r="G4" i="97"/>
  <c r="F5" i="97"/>
  <c r="F6" i="97"/>
  <c r="F7" i="97"/>
  <c r="F8" i="97"/>
  <c r="F9" i="97"/>
  <c r="F10" i="97"/>
  <c r="F11" i="97"/>
  <c r="F12" i="97"/>
  <c r="F13" i="97"/>
  <c r="F14" i="97"/>
  <c r="F15" i="97"/>
  <c r="F16" i="97"/>
  <c r="F17" i="97"/>
  <c r="F18" i="97"/>
  <c r="F19" i="97"/>
  <c r="F20" i="97"/>
  <c r="F21" i="97"/>
  <c r="F22" i="97"/>
  <c r="F23" i="97"/>
  <c r="F24" i="97"/>
  <c r="F25" i="97"/>
  <c r="F26" i="97"/>
  <c r="F27" i="97"/>
  <c r="F28" i="97"/>
  <c r="F29" i="97"/>
  <c r="F30" i="97"/>
  <c r="F31" i="97"/>
  <c r="F32" i="97"/>
  <c r="F33" i="97"/>
  <c r="F34" i="97"/>
  <c r="F35" i="97"/>
  <c r="F36" i="97"/>
  <c r="F37" i="97"/>
  <c r="F38" i="97"/>
  <c r="F39" i="97"/>
  <c r="F40" i="97"/>
  <c r="F41" i="97"/>
  <c r="F42" i="97"/>
  <c r="F43" i="97"/>
  <c r="F44" i="97"/>
  <c r="F45" i="97"/>
  <c r="F46" i="97"/>
  <c r="F47" i="97"/>
  <c r="F48" i="97"/>
  <c r="F49" i="97"/>
  <c r="F50" i="97"/>
  <c r="F51" i="97"/>
  <c r="F52" i="97"/>
  <c r="F53" i="97"/>
  <c r="F54" i="97"/>
  <c r="F55" i="97"/>
  <c r="F56" i="97"/>
  <c r="F57" i="97"/>
  <c r="F58" i="97"/>
  <c r="F59" i="97"/>
  <c r="F60" i="97"/>
  <c r="F61" i="97"/>
  <c r="F62" i="97"/>
  <c r="M62" i="97" s="1"/>
  <c r="F63" i="97"/>
  <c r="F4" i="97"/>
  <c r="E5" i="97"/>
  <c r="E6" i="97"/>
  <c r="E7" i="97"/>
  <c r="E8" i="97"/>
  <c r="E9" i="97"/>
  <c r="E10" i="97"/>
  <c r="E11" i="97"/>
  <c r="E12" i="97"/>
  <c r="E13" i="97"/>
  <c r="E14" i="97"/>
  <c r="E15" i="97"/>
  <c r="E16" i="97"/>
  <c r="E17" i="97"/>
  <c r="E18" i="97"/>
  <c r="E19" i="97"/>
  <c r="E20" i="97"/>
  <c r="E21" i="97"/>
  <c r="E22" i="97"/>
  <c r="E23" i="97"/>
  <c r="E24" i="97"/>
  <c r="E25" i="97"/>
  <c r="E26" i="97"/>
  <c r="E27" i="97"/>
  <c r="E28" i="97"/>
  <c r="E29" i="97"/>
  <c r="E30" i="97"/>
  <c r="E31" i="97"/>
  <c r="E32" i="97"/>
  <c r="E33" i="97"/>
  <c r="E34" i="97"/>
  <c r="E35" i="97"/>
  <c r="E36" i="97"/>
  <c r="E37" i="97"/>
  <c r="E38" i="97"/>
  <c r="E39" i="97"/>
  <c r="E40" i="97"/>
  <c r="E41" i="97"/>
  <c r="E42" i="97"/>
  <c r="E43" i="97"/>
  <c r="E44" i="97"/>
  <c r="E45" i="97"/>
  <c r="E46" i="97"/>
  <c r="E47" i="97"/>
  <c r="E48" i="97"/>
  <c r="E49" i="97"/>
  <c r="E50" i="97"/>
  <c r="E51" i="97"/>
  <c r="E52" i="97"/>
  <c r="E53" i="97"/>
  <c r="E54" i="97"/>
  <c r="E55" i="97"/>
  <c r="E56" i="97"/>
  <c r="E57" i="97"/>
  <c r="E58" i="97"/>
  <c r="E59" i="97"/>
  <c r="E60" i="97"/>
  <c r="E61" i="97"/>
  <c r="E62" i="97"/>
  <c r="L62" i="97" s="1"/>
  <c r="E63" i="97"/>
  <c r="E4" i="97"/>
  <c r="D5" i="97"/>
  <c r="D6" i="97"/>
  <c r="D7" i="97"/>
  <c r="D8" i="97"/>
  <c r="D9" i="97"/>
  <c r="D10" i="97"/>
  <c r="D11" i="97"/>
  <c r="D12" i="97"/>
  <c r="D13" i="97"/>
  <c r="D14" i="97"/>
  <c r="D15" i="97"/>
  <c r="D16" i="97"/>
  <c r="D17" i="97"/>
  <c r="D18" i="97"/>
  <c r="D19" i="97"/>
  <c r="D20" i="97"/>
  <c r="D21" i="97"/>
  <c r="D22" i="97"/>
  <c r="D23" i="97"/>
  <c r="D24" i="97"/>
  <c r="D25" i="97"/>
  <c r="D26" i="97"/>
  <c r="D27" i="97"/>
  <c r="D28" i="97"/>
  <c r="D29" i="97"/>
  <c r="D30" i="97"/>
  <c r="D31" i="97"/>
  <c r="D32" i="97"/>
  <c r="D33" i="97"/>
  <c r="D34" i="97"/>
  <c r="D35" i="97"/>
  <c r="D36" i="97"/>
  <c r="D37" i="97"/>
  <c r="D38" i="97"/>
  <c r="D39" i="97"/>
  <c r="D40" i="97"/>
  <c r="D41" i="97"/>
  <c r="D42" i="97"/>
  <c r="D43" i="97"/>
  <c r="D44" i="97"/>
  <c r="D45" i="97"/>
  <c r="D46" i="97"/>
  <c r="D47" i="97"/>
  <c r="D48" i="97"/>
  <c r="D49" i="97"/>
  <c r="D50" i="97"/>
  <c r="D51" i="97"/>
  <c r="D52" i="97"/>
  <c r="D53" i="97"/>
  <c r="D54" i="97"/>
  <c r="D55" i="97"/>
  <c r="D56" i="97"/>
  <c r="D57" i="97"/>
  <c r="D58" i="97"/>
  <c r="D59" i="97"/>
  <c r="D60" i="97"/>
  <c r="D61" i="97"/>
  <c r="D62" i="97"/>
  <c r="K62" i="97" s="1"/>
  <c r="D63" i="97"/>
  <c r="D4" i="97"/>
  <c r="I24" i="96"/>
  <c r="L34" i="96"/>
  <c r="O34" i="96" s="1"/>
  <c r="L35" i="96"/>
  <c r="O35" i="96" s="1"/>
  <c r="L36" i="96"/>
  <c r="L37" i="96"/>
  <c r="L38" i="96"/>
  <c r="N38" i="96" s="1"/>
  <c r="L33" i="96"/>
  <c r="N8" i="96"/>
  <c r="K37" i="96"/>
  <c r="K33" i="96"/>
  <c r="N34" i="96"/>
  <c r="N36" i="96"/>
  <c r="O36" i="96"/>
  <c r="O38" i="96"/>
  <c r="K34" i="96"/>
  <c r="K35" i="96"/>
  <c r="K36" i="96"/>
  <c r="K38" i="96"/>
  <c r="J6" i="96"/>
  <c r="G6" i="81"/>
  <c r="G7" i="81" s="1"/>
  <c r="J4" i="96"/>
  <c r="J5" i="96" s="1"/>
  <c r="R4" i="95"/>
  <c r="R3" i="95"/>
  <c r="G8" i="81"/>
  <c r="T5" i="98"/>
  <c r="V22" i="98" s="1"/>
  <c r="E8" i="81"/>
  <c r="E9" i="81"/>
  <c r="E10" i="81"/>
  <c r="E11" i="81"/>
  <c r="E12" i="81"/>
  <c r="E13" i="81"/>
  <c r="E14" i="81"/>
  <c r="E15" i="81"/>
  <c r="E16" i="81"/>
  <c r="E17" i="81"/>
  <c r="E18" i="81"/>
  <c r="E19" i="81"/>
  <c r="E20" i="81"/>
  <c r="E21" i="81"/>
  <c r="E22" i="81"/>
  <c r="E23" i="81"/>
  <c r="D5" i="81"/>
  <c r="D6" i="81"/>
  <c r="D7" i="81"/>
  <c r="D8" i="81"/>
  <c r="D9" i="81"/>
  <c r="D10" i="81"/>
  <c r="D11" i="81"/>
  <c r="D12" i="81"/>
  <c r="D13" i="81"/>
  <c r="D14" i="81"/>
  <c r="D15" i="81"/>
  <c r="D16" i="81"/>
  <c r="D17" i="81"/>
  <c r="D18" i="81"/>
  <c r="D19" i="81"/>
  <c r="D4" i="81"/>
  <c r="U21" i="98"/>
  <c r="U22" i="98"/>
  <c r="U23" i="98"/>
  <c r="U20" i="98"/>
  <c r="N35" i="96" l="1"/>
  <c r="N37" i="96"/>
  <c r="O37" i="96"/>
  <c r="O33" i="96"/>
  <c r="N33" i="96"/>
  <c r="K9" i="81"/>
  <c r="K13" i="81"/>
  <c r="K17" i="81"/>
  <c r="H20" i="81"/>
  <c r="I20" i="81" s="1"/>
  <c r="J20" i="81" s="1"/>
  <c r="K10" i="81"/>
  <c r="K14" i="81"/>
  <c r="K18" i="81"/>
  <c r="J11" i="81"/>
  <c r="J15" i="81"/>
  <c r="J19" i="81"/>
  <c r="K11" i="81"/>
  <c r="K15" i="81"/>
  <c r="K19" i="81"/>
  <c r="J12" i="81"/>
  <c r="J16" i="81"/>
  <c r="K8" i="81"/>
  <c r="H21" i="81"/>
  <c r="I21" i="81" s="1"/>
  <c r="K12" i="81"/>
  <c r="K16" i="81"/>
  <c r="J8" i="81"/>
  <c r="H22" i="81"/>
  <c r="I22" i="81" s="1"/>
  <c r="J9" i="81"/>
  <c r="J13" i="81"/>
  <c r="J17" i="81"/>
  <c r="H23" i="81"/>
  <c r="I23" i="81" s="1"/>
  <c r="J10" i="81"/>
  <c r="J14" i="81"/>
  <c r="J18" i="81"/>
  <c r="X22" i="98"/>
  <c r="W22" i="98"/>
  <c r="V21" i="98"/>
  <c r="W17" i="98"/>
  <c r="W5" i="98"/>
  <c r="X12" i="98"/>
  <c r="X8" i="98"/>
  <c r="W16" i="98"/>
  <c r="X11" i="98"/>
  <c r="X4" i="98"/>
  <c r="W15" i="98"/>
  <c r="W11" i="98"/>
  <c r="W7" i="98"/>
  <c r="W13" i="98"/>
  <c r="X16" i="98"/>
  <c r="W8" i="98"/>
  <c r="X18" i="98"/>
  <c r="X14" i="98"/>
  <c r="X10" i="98"/>
  <c r="X6" i="98"/>
  <c r="V20" i="98"/>
  <c r="W9" i="98"/>
  <c r="X19" i="98"/>
  <c r="W12" i="98"/>
  <c r="X15" i="98"/>
  <c r="W18" i="98"/>
  <c r="W14" i="98"/>
  <c r="W10" i="98"/>
  <c r="W6" i="98"/>
  <c r="V23" i="98"/>
  <c r="W19" i="98"/>
  <c r="W4" i="98"/>
  <c r="X7" i="98"/>
  <c r="X17" i="98"/>
  <c r="X13" i="98"/>
  <c r="X9" i="98"/>
  <c r="X5" i="98"/>
  <c r="W20" i="98" l="1"/>
  <c r="X20" i="98"/>
  <c r="W23" i="98"/>
  <c r="X23" i="98"/>
  <c r="X21" i="98"/>
  <c r="W21" i="98"/>
  <c r="T4" i="98" l="1"/>
  <c r="J6" i="75"/>
  <c r="M19" i="98"/>
  <c r="M18" i="98"/>
  <c r="M17" i="98"/>
  <c r="N18" i="98" s="1"/>
  <c r="O18" i="98" s="1"/>
  <c r="AD8" i="98" s="1"/>
  <c r="AD17" i="98" s="1"/>
  <c r="M16" i="98"/>
  <c r="N17" i="98" s="1"/>
  <c r="O17" i="98" s="1"/>
  <c r="AD7" i="98" s="1"/>
  <c r="AD16" i="98" s="1"/>
  <c r="M15" i="98"/>
  <c r="M14" i="98"/>
  <c r="M13" i="98"/>
  <c r="N14" i="98" s="1"/>
  <c r="O14" i="98" s="1"/>
  <c r="AC8" i="98" s="1"/>
  <c r="AC17" i="98" s="1"/>
  <c r="M12" i="98"/>
  <c r="N13" i="98" s="1"/>
  <c r="O13" i="98" s="1"/>
  <c r="AC7" i="98" s="1"/>
  <c r="AC16" i="98" s="1"/>
  <c r="M11" i="98"/>
  <c r="N12" i="98" s="1"/>
  <c r="O12" i="98" s="1"/>
  <c r="AC6" i="98" s="1"/>
  <c r="AC15" i="98" s="1"/>
  <c r="M10" i="98"/>
  <c r="M9" i="98"/>
  <c r="N10" i="98" s="1"/>
  <c r="O10" i="98" s="1"/>
  <c r="AB8" i="98" s="1"/>
  <c r="AB17" i="98" s="1"/>
  <c r="M8" i="98"/>
  <c r="M7" i="98"/>
  <c r="N8" i="98" s="1"/>
  <c r="O8" i="98" s="1"/>
  <c r="AB6" i="98" s="1"/>
  <c r="AB15" i="98" s="1"/>
  <c r="M6" i="98"/>
  <c r="M5" i="98"/>
  <c r="N6" i="98" s="1"/>
  <c r="O6" i="98" s="1"/>
  <c r="AA8" i="98" s="1"/>
  <c r="AA17" i="98" s="1"/>
  <c r="AE17" i="98" s="1"/>
  <c r="N7" i="98" l="1"/>
  <c r="O7" i="98" s="1"/>
  <c r="AA9" i="98" s="1"/>
  <c r="AA18" i="98" s="1"/>
  <c r="N15" i="98"/>
  <c r="O15" i="98" s="1"/>
  <c r="AC9" i="98" s="1"/>
  <c r="AC18" i="98" s="1"/>
  <c r="N11" i="98"/>
  <c r="O11" i="98" s="1"/>
  <c r="AB9" i="98" s="1"/>
  <c r="AB18" i="98" s="1"/>
  <c r="AE18" i="98" s="1"/>
  <c r="N19" i="98"/>
  <c r="O19" i="98" s="1"/>
  <c r="AD9" i="98" s="1"/>
  <c r="AD18" i="98" s="1"/>
  <c r="N9" i="98"/>
  <c r="O9" i="98" s="1"/>
  <c r="AB7" i="98" s="1"/>
  <c r="AB16" i="98" s="1"/>
  <c r="AE16" i="98" s="1"/>
  <c r="N16" i="98"/>
  <c r="O16" i="98" s="1"/>
  <c r="AD6" i="98" s="1"/>
  <c r="AD15" i="98" s="1"/>
  <c r="AE15" i="98" s="1"/>
  <c r="AE19" i="98" l="1"/>
  <c r="AE20" i="98" s="1"/>
  <c r="AA25" i="98" s="1"/>
  <c r="AA24" i="98" l="1"/>
  <c r="P16" i="98" s="1"/>
  <c r="Q16" i="98" s="1"/>
  <c r="P8" i="98"/>
  <c r="Q8" i="98" s="1"/>
  <c r="P17" i="98"/>
  <c r="Q17" i="98" s="1"/>
  <c r="P5" i="98"/>
  <c r="Q5" i="98" s="1"/>
  <c r="P13" i="98"/>
  <c r="Q13" i="98" s="1"/>
  <c r="P9" i="98"/>
  <c r="Q9" i="98" s="1"/>
  <c r="AA26" i="98"/>
  <c r="AA27" i="98"/>
  <c r="P4" i="98" l="1"/>
  <c r="Q4" i="98" s="1"/>
  <c r="R2" i="98" s="1"/>
  <c r="P12" i="98"/>
  <c r="Q12" i="98" s="1"/>
  <c r="P19" i="98"/>
  <c r="Q19" i="98" s="1"/>
  <c r="P7" i="98"/>
  <c r="Q7" i="98" s="1"/>
  <c r="P11" i="98"/>
  <c r="Q11" i="98" s="1"/>
  <c r="P15" i="98"/>
  <c r="Q15" i="98" s="1"/>
  <c r="P10" i="98"/>
  <c r="Q10" i="98" s="1"/>
  <c r="P6" i="98"/>
  <c r="Q6" i="98" s="1"/>
  <c r="P18" i="98"/>
  <c r="Q18" i="98" s="1"/>
  <c r="P14" i="98"/>
  <c r="Q14" i="98" s="1"/>
  <c r="P2" i="98" l="1"/>
  <c r="R11" i="98" s="1"/>
  <c r="S11" i="98" s="1"/>
  <c r="R14" i="98" l="1"/>
  <c r="S14" i="98" s="1"/>
  <c r="R22" i="98"/>
  <c r="S22" i="98" s="1"/>
  <c r="R15" i="98"/>
  <c r="S15" i="98" s="1"/>
  <c r="R12" i="98"/>
  <c r="S12" i="98" s="1"/>
  <c r="R23" i="98"/>
  <c r="S23" i="98" s="1"/>
  <c r="R16" i="98"/>
  <c r="S16" i="98" s="1"/>
  <c r="R10" i="98"/>
  <c r="S10" i="98" s="1"/>
  <c r="R20" i="98"/>
  <c r="S20" i="98" s="1"/>
  <c r="R5" i="98"/>
  <c r="S5" i="98" s="1"/>
  <c r="R4" i="98"/>
  <c r="S4" i="98" s="1"/>
  <c r="R13" i="98"/>
  <c r="S13" i="98" s="1"/>
  <c r="R21" i="98"/>
  <c r="S21" i="98" s="1"/>
  <c r="R8" i="98"/>
  <c r="S8" i="98" s="1"/>
  <c r="R18" i="98"/>
  <c r="S18" i="98" s="1"/>
  <c r="R17" i="98"/>
  <c r="S17" i="98" s="1"/>
  <c r="R6" i="98"/>
  <c r="S6" i="98" s="1"/>
  <c r="R7" i="98"/>
  <c r="S7" i="98" s="1"/>
  <c r="R19" i="98"/>
  <c r="S19" i="98" s="1"/>
  <c r="R9" i="98"/>
  <c r="S9" i="98" s="1"/>
  <c r="I5" i="97" l="1"/>
  <c r="P5" i="97" s="1"/>
  <c r="H9" i="97"/>
  <c r="O9" i="97" s="1"/>
  <c r="H10" i="97"/>
  <c r="O10" i="97" s="1"/>
  <c r="H11" i="97"/>
  <c r="O11" i="97" s="1"/>
  <c r="H12" i="97"/>
  <c r="O12" i="97" s="1"/>
  <c r="H13" i="97"/>
  <c r="O13" i="97" s="1"/>
  <c r="H14" i="97"/>
  <c r="O14" i="97" s="1"/>
  <c r="H15" i="97"/>
  <c r="O15" i="97" s="1"/>
  <c r="H16" i="97"/>
  <c r="O16" i="97" s="1"/>
  <c r="H17" i="97"/>
  <c r="O17" i="97" s="1"/>
  <c r="H18" i="97"/>
  <c r="O18" i="97" s="1"/>
  <c r="H19" i="97"/>
  <c r="O19" i="97" s="1"/>
  <c r="H20" i="97"/>
  <c r="O20" i="97" s="1"/>
  <c r="H21" i="97"/>
  <c r="O21" i="97" s="1"/>
  <c r="H22" i="97"/>
  <c r="O22" i="97" s="1"/>
  <c r="H23" i="97"/>
  <c r="O23" i="97" s="1"/>
  <c r="H24" i="97"/>
  <c r="O24" i="97" s="1"/>
  <c r="H25" i="97"/>
  <c r="O25" i="97" s="1"/>
  <c r="H26" i="97"/>
  <c r="O26" i="97" s="1"/>
  <c r="H27" i="97"/>
  <c r="O27" i="97" s="1"/>
  <c r="H28" i="97"/>
  <c r="O28" i="97" s="1"/>
  <c r="H29" i="97"/>
  <c r="O29" i="97" s="1"/>
  <c r="H30" i="97"/>
  <c r="O30" i="97" s="1"/>
  <c r="H31" i="97"/>
  <c r="O31" i="97" s="1"/>
  <c r="H32" i="97"/>
  <c r="O32" i="97" s="1"/>
  <c r="H33" i="97"/>
  <c r="O33" i="97" s="1"/>
  <c r="H34" i="97"/>
  <c r="O34" i="97" s="1"/>
  <c r="H35" i="97"/>
  <c r="O35" i="97" s="1"/>
  <c r="H36" i="97"/>
  <c r="O36" i="97" s="1"/>
  <c r="H37" i="97"/>
  <c r="O37" i="97" s="1"/>
  <c r="H38" i="97"/>
  <c r="O38" i="97" s="1"/>
  <c r="H39" i="97"/>
  <c r="O39" i="97" s="1"/>
  <c r="H40" i="97"/>
  <c r="O40" i="97" s="1"/>
  <c r="H41" i="97"/>
  <c r="O41" i="97" s="1"/>
  <c r="H42" i="97"/>
  <c r="O42" i="97" s="1"/>
  <c r="H43" i="97"/>
  <c r="O43" i="97" s="1"/>
  <c r="H44" i="97"/>
  <c r="O44" i="97" s="1"/>
  <c r="H45" i="97"/>
  <c r="O45" i="97" s="1"/>
  <c r="H46" i="97"/>
  <c r="O46" i="97" s="1"/>
  <c r="H47" i="97"/>
  <c r="O47" i="97" s="1"/>
  <c r="H48" i="97"/>
  <c r="O48" i="97" s="1"/>
  <c r="H49" i="97"/>
  <c r="O49" i="97" s="1"/>
  <c r="H50" i="97"/>
  <c r="O50" i="97" s="1"/>
  <c r="H51" i="97"/>
  <c r="O51" i="97" s="1"/>
  <c r="H52" i="97"/>
  <c r="O52" i="97" s="1"/>
  <c r="H53" i="97"/>
  <c r="O53" i="97" s="1"/>
  <c r="H54" i="97"/>
  <c r="O54" i="97" s="1"/>
  <c r="H55" i="97"/>
  <c r="O55" i="97" s="1"/>
  <c r="H56" i="97"/>
  <c r="O56" i="97" s="1"/>
  <c r="H57" i="97"/>
  <c r="O57" i="97" s="1"/>
  <c r="H58" i="97"/>
  <c r="O58" i="97" s="1"/>
  <c r="H59" i="97"/>
  <c r="O59" i="97" s="1"/>
  <c r="H60" i="97"/>
  <c r="O60" i="97" s="1"/>
  <c r="O61" i="97"/>
  <c r="I6" i="97" l="1"/>
  <c r="P6" i="97" l="1"/>
  <c r="I7" i="97"/>
  <c r="P7" i="97" l="1"/>
  <c r="I8" i="97"/>
  <c r="J8" i="97"/>
  <c r="P8" i="97" l="1"/>
  <c r="J9" i="97"/>
  <c r="I9" i="97"/>
  <c r="N5" i="97"/>
  <c r="N6" i="97"/>
  <c r="N7" i="97"/>
  <c r="N8" i="97"/>
  <c r="N9" i="97"/>
  <c r="N10" i="97"/>
  <c r="N11" i="97"/>
  <c r="N12" i="97"/>
  <c r="N13" i="97"/>
  <c r="N14" i="97"/>
  <c r="N15" i="97"/>
  <c r="N16" i="97"/>
  <c r="N17" i="97"/>
  <c r="N18" i="97"/>
  <c r="N19" i="97"/>
  <c r="N20" i="97"/>
  <c r="N21" i="97"/>
  <c r="N22" i="97"/>
  <c r="N23" i="97"/>
  <c r="N24" i="97"/>
  <c r="N25" i="97"/>
  <c r="N26" i="97"/>
  <c r="N27" i="97"/>
  <c r="N28" i="97"/>
  <c r="N29" i="97"/>
  <c r="N30" i="97"/>
  <c r="N31" i="97"/>
  <c r="N32" i="97"/>
  <c r="N33" i="97"/>
  <c r="N34" i="97"/>
  <c r="N35" i="97"/>
  <c r="N36" i="97"/>
  <c r="N37" i="97"/>
  <c r="N38" i="97"/>
  <c r="N39" i="97"/>
  <c r="N40" i="97"/>
  <c r="N41" i="97"/>
  <c r="N42" i="97"/>
  <c r="N43" i="97"/>
  <c r="N44" i="97"/>
  <c r="N45" i="97"/>
  <c r="N46" i="97"/>
  <c r="N47" i="97"/>
  <c r="N48" i="97"/>
  <c r="N49" i="97"/>
  <c r="N50" i="97"/>
  <c r="N51" i="97"/>
  <c r="N52" i="97"/>
  <c r="N53" i="97"/>
  <c r="N54" i="97"/>
  <c r="N55" i="97"/>
  <c r="N56" i="97"/>
  <c r="N57" i="97"/>
  <c r="N58" i="97"/>
  <c r="N59" i="97"/>
  <c r="N60" i="97"/>
  <c r="N61" i="97"/>
  <c r="M5" i="97"/>
  <c r="M6" i="97"/>
  <c r="M7" i="97"/>
  <c r="M8" i="97"/>
  <c r="M9" i="97"/>
  <c r="M10" i="97"/>
  <c r="M11" i="97"/>
  <c r="M12" i="97"/>
  <c r="M13" i="97"/>
  <c r="M14" i="97"/>
  <c r="M15" i="97"/>
  <c r="M16" i="97"/>
  <c r="M17" i="97"/>
  <c r="M18" i="97"/>
  <c r="M19" i="97"/>
  <c r="M20" i="97"/>
  <c r="M21" i="97"/>
  <c r="M22" i="97"/>
  <c r="M23" i="97"/>
  <c r="M24" i="97"/>
  <c r="M25" i="97"/>
  <c r="M26" i="97"/>
  <c r="M27" i="97"/>
  <c r="M28" i="97"/>
  <c r="M29" i="97"/>
  <c r="M30" i="97"/>
  <c r="M31" i="97"/>
  <c r="M32" i="97"/>
  <c r="M33" i="97"/>
  <c r="M34" i="97"/>
  <c r="M35" i="97"/>
  <c r="M36" i="97"/>
  <c r="M37" i="97"/>
  <c r="M38" i="97"/>
  <c r="M39" i="97"/>
  <c r="M40" i="97"/>
  <c r="M41" i="97"/>
  <c r="M42" i="97"/>
  <c r="M43" i="97"/>
  <c r="M44" i="97"/>
  <c r="M45" i="97"/>
  <c r="M46" i="97"/>
  <c r="M47" i="97"/>
  <c r="M48" i="97"/>
  <c r="M49" i="97"/>
  <c r="M50" i="97"/>
  <c r="M51" i="97"/>
  <c r="M52" i="97"/>
  <c r="M53" i="97"/>
  <c r="M54" i="97"/>
  <c r="M55" i="97"/>
  <c r="M56" i="97"/>
  <c r="M57" i="97"/>
  <c r="M58" i="97"/>
  <c r="M59" i="97"/>
  <c r="M60" i="97"/>
  <c r="M61" i="97"/>
  <c r="L5" i="97"/>
  <c r="L6" i="97"/>
  <c r="L7" i="97"/>
  <c r="L8" i="97"/>
  <c r="L9" i="97"/>
  <c r="L10" i="97"/>
  <c r="L11" i="97"/>
  <c r="L12" i="97"/>
  <c r="L13" i="97"/>
  <c r="L14" i="97"/>
  <c r="L15" i="97"/>
  <c r="L16" i="97"/>
  <c r="L17" i="97"/>
  <c r="L18" i="97"/>
  <c r="L19" i="97"/>
  <c r="L20" i="97"/>
  <c r="L21" i="97"/>
  <c r="L22" i="97"/>
  <c r="L23" i="97"/>
  <c r="L24" i="97"/>
  <c r="L25" i="97"/>
  <c r="L26" i="97"/>
  <c r="L27" i="97"/>
  <c r="L28" i="97"/>
  <c r="L29" i="97"/>
  <c r="L30" i="97"/>
  <c r="L31" i="97"/>
  <c r="L32" i="97"/>
  <c r="L33" i="97"/>
  <c r="L34" i="97"/>
  <c r="L35" i="97"/>
  <c r="L36" i="97"/>
  <c r="L37" i="97"/>
  <c r="L38" i="97"/>
  <c r="L39" i="97"/>
  <c r="L40" i="97"/>
  <c r="L41" i="97"/>
  <c r="L42" i="97"/>
  <c r="L43" i="97"/>
  <c r="L44" i="97"/>
  <c r="L45" i="97"/>
  <c r="L46" i="97"/>
  <c r="L47" i="97"/>
  <c r="L48" i="97"/>
  <c r="L49" i="97"/>
  <c r="L50" i="97"/>
  <c r="L51" i="97"/>
  <c r="L52" i="97"/>
  <c r="L53" i="97"/>
  <c r="L54" i="97"/>
  <c r="L55" i="97"/>
  <c r="L56" i="97"/>
  <c r="L57" i="97"/>
  <c r="L58" i="97"/>
  <c r="L59" i="97"/>
  <c r="L60" i="97"/>
  <c r="L61" i="97"/>
  <c r="K5" i="97"/>
  <c r="K6" i="97"/>
  <c r="K7" i="97"/>
  <c r="K8" i="97"/>
  <c r="K9" i="97"/>
  <c r="K10" i="97"/>
  <c r="K11" i="97"/>
  <c r="K12" i="97"/>
  <c r="K13" i="97"/>
  <c r="K14" i="97"/>
  <c r="K15" i="97"/>
  <c r="K16" i="97"/>
  <c r="K17" i="97"/>
  <c r="K18" i="97"/>
  <c r="K19" i="97"/>
  <c r="K20" i="97"/>
  <c r="K21" i="97"/>
  <c r="K22" i="97"/>
  <c r="K23" i="97"/>
  <c r="K24" i="97"/>
  <c r="K25" i="97"/>
  <c r="K26" i="97"/>
  <c r="K27" i="97"/>
  <c r="K28" i="97"/>
  <c r="K29" i="97"/>
  <c r="K30" i="97"/>
  <c r="K31" i="97"/>
  <c r="K32" i="97"/>
  <c r="K33" i="97"/>
  <c r="K34" i="97"/>
  <c r="K35" i="97"/>
  <c r="K36" i="97"/>
  <c r="K37" i="97"/>
  <c r="K38" i="97"/>
  <c r="K39" i="97"/>
  <c r="K40" i="97"/>
  <c r="K41" i="97"/>
  <c r="K42" i="97"/>
  <c r="K43" i="97"/>
  <c r="K44" i="97"/>
  <c r="K45" i="97"/>
  <c r="K46" i="97"/>
  <c r="K47" i="97"/>
  <c r="K48" i="97"/>
  <c r="K49" i="97"/>
  <c r="K50" i="97"/>
  <c r="K51" i="97"/>
  <c r="K52" i="97"/>
  <c r="K53" i="97"/>
  <c r="K54" i="97"/>
  <c r="K55" i="97"/>
  <c r="K56" i="97"/>
  <c r="K57" i="97"/>
  <c r="K58" i="97"/>
  <c r="K59" i="97"/>
  <c r="K60" i="97"/>
  <c r="K61" i="97"/>
  <c r="P9" i="97" l="1"/>
  <c r="L4" i="97"/>
  <c r="M4" i="97"/>
  <c r="K4" i="97"/>
  <c r="N4" i="97"/>
  <c r="I10" i="97"/>
  <c r="J10" i="97"/>
  <c r="P10" i="97" l="1"/>
  <c r="I11" i="97"/>
  <c r="J11" i="97"/>
  <c r="P11" i="97" l="1"/>
  <c r="I12" i="97"/>
  <c r="J12" i="97"/>
  <c r="P12" i="97" l="1"/>
  <c r="I13" i="97"/>
  <c r="J13" i="97"/>
  <c r="P13" i="97" l="1"/>
  <c r="I14" i="97"/>
  <c r="J14" i="97"/>
  <c r="P14" i="97" l="1"/>
  <c r="I15" i="97"/>
  <c r="J16" i="97" s="1"/>
  <c r="J15" i="97"/>
  <c r="P15" i="97" l="1"/>
  <c r="I16" i="97"/>
  <c r="P16" i="97" l="1"/>
  <c r="I17" i="97"/>
  <c r="J17" i="97"/>
  <c r="P17" i="97" l="1"/>
  <c r="J19" i="97"/>
  <c r="I18" i="97"/>
  <c r="J18" i="97"/>
  <c r="P18" i="97" l="1"/>
  <c r="I19" i="97"/>
  <c r="P19" i="97" l="1"/>
  <c r="I20" i="97"/>
  <c r="J21" i="97" s="1"/>
  <c r="J20" i="97"/>
  <c r="P20" i="97" l="1"/>
  <c r="I21" i="97"/>
  <c r="P21" i="97" l="1"/>
  <c r="I22" i="97"/>
  <c r="J22" i="97"/>
  <c r="P22" i="97" l="1"/>
  <c r="I23" i="97"/>
  <c r="J23" i="97"/>
  <c r="P23" i="97" l="1"/>
  <c r="J24" i="97"/>
  <c r="I24" i="97"/>
  <c r="P24" i="97" l="1"/>
  <c r="J25" i="97"/>
  <c r="I25" i="97"/>
  <c r="P25" i="97" l="1"/>
  <c r="I26" i="97"/>
  <c r="J26" i="97"/>
  <c r="P26" i="97" l="1"/>
  <c r="I27" i="97"/>
  <c r="J27" i="97"/>
  <c r="P27" i="97" l="1"/>
  <c r="I28" i="97"/>
  <c r="J28" i="97"/>
  <c r="J29" i="97"/>
  <c r="P28" i="97" l="1"/>
  <c r="I29" i="97"/>
  <c r="P29" i="97" l="1"/>
  <c r="I30" i="97"/>
  <c r="J30" i="97"/>
  <c r="P30" i="97" l="1"/>
  <c r="J31" i="97"/>
  <c r="I31" i="97"/>
  <c r="P31" i="97" l="1"/>
  <c r="I32" i="97"/>
  <c r="J32" i="97"/>
  <c r="P32" i="97" l="1"/>
  <c r="I33" i="97"/>
  <c r="J33" i="97"/>
  <c r="P33" i="97" l="1"/>
  <c r="J35" i="97"/>
  <c r="I34" i="97"/>
  <c r="J34" i="97"/>
  <c r="P34" i="97" l="1"/>
  <c r="I35" i="97"/>
  <c r="P35" i="97" l="1"/>
  <c r="I36" i="97"/>
  <c r="J36" i="97"/>
  <c r="P36" i="97" l="1"/>
  <c r="J37" i="97"/>
  <c r="I37" i="97"/>
  <c r="P37" i="97" l="1"/>
  <c r="I38" i="97"/>
  <c r="J38" i="97"/>
  <c r="P38" i="97" l="1"/>
  <c r="I39" i="97"/>
  <c r="J39" i="97"/>
  <c r="P39" i="97" l="1"/>
  <c r="I40" i="97"/>
  <c r="J40" i="97"/>
  <c r="P40" i="97" l="1"/>
  <c r="I41" i="97"/>
  <c r="J41" i="97"/>
  <c r="P41" i="97" l="1"/>
  <c r="J42" i="97"/>
  <c r="I42" i="97"/>
  <c r="P42" i="97" l="1"/>
  <c r="I43" i="97"/>
  <c r="J43" i="97"/>
  <c r="D3" i="96"/>
  <c r="D4" i="96" s="1"/>
  <c r="E3" i="96"/>
  <c r="E4" i="96"/>
  <c r="H4" i="96"/>
  <c r="J3" i="95"/>
  <c r="K3" i="95"/>
  <c r="K4" i="95" s="1"/>
  <c r="M4" i="95" s="1"/>
  <c r="J4" i="95"/>
  <c r="J5" i="95" s="1"/>
  <c r="N4" i="95"/>
  <c r="D7" i="95"/>
  <c r="D8" i="95"/>
  <c r="D9" i="95"/>
  <c r="D10" i="95"/>
  <c r="D11" i="95"/>
  <c r="D12" i="95"/>
  <c r="D13" i="95"/>
  <c r="D14" i="95"/>
  <c r="D15" i="95"/>
  <c r="D16" i="95"/>
  <c r="D17" i="95"/>
  <c r="D18" i="95"/>
  <c r="D19" i="95"/>
  <c r="D20" i="95"/>
  <c r="D21" i="95"/>
  <c r="D22" i="95"/>
  <c r="D23" i="95"/>
  <c r="D24" i="95"/>
  <c r="D25" i="95"/>
  <c r="D26" i="95"/>
  <c r="D27" i="95"/>
  <c r="D28" i="95"/>
  <c r="D29" i="95"/>
  <c r="D30" i="95"/>
  <c r="D31" i="95"/>
  <c r="D32" i="95"/>
  <c r="J3" i="94"/>
  <c r="J4" i="94" s="1"/>
  <c r="K3" i="94"/>
  <c r="K4" i="94" s="1"/>
  <c r="N4" i="94"/>
  <c r="D7" i="94"/>
  <c r="D8" i="94"/>
  <c r="D9" i="94"/>
  <c r="D10" i="94"/>
  <c r="D11" i="94"/>
  <c r="D12" i="94"/>
  <c r="D13" i="94"/>
  <c r="D14" i="94"/>
  <c r="D15" i="94"/>
  <c r="D16" i="94"/>
  <c r="D17" i="94"/>
  <c r="D18" i="94"/>
  <c r="D19" i="94"/>
  <c r="D20" i="94"/>
  <c r="D21" i="94"/>
  <c r="D22" i="94"/>
  <c r="D23" i="94"/>
  <c r="D24" i="94"/>
  <c r="D25" i="94"/>
  <c r="E27" i="94" s="1"/>
  <c r="G27" i="94" s="1"/>
  <c r="D26" i="94"/>
  <c r="D27" i="94"/>
  <c r="D28" i="94"/>
  <c r="D29" i="94"/>
  <c r="E31" i="94" s="1"/>
  <c r="G31" i="94" s="1"/>
  <c r="D30" i="94"/>
  <c r="D31" i="94"/>
  <c r="D32" i="94"/>
  <c r="D5" i="93"/>
  <c r="E5" i="93"/>
  <c r="E6" i="93" s="1"/>
  <c r="E7" i="93" s="1"/>
  <c r="E8" i="93" s="1"/>
  <c r="E9" i="93" s="1"/>
  <c r="E10" i="93" s="1"/>
  <c r="E11" i="93" s="1"/>
  <c r="E12" i="93" s="1"/>
  <c r="E13" i="93" s="1"/>
  <c r="E14" i="93" s="1"/>
  <c r="E15" i="93" s="1"/>
  <c r="E16" i="93" s="1"/>
  <c r="E17" i="93" s="1"/>
  <c r="E18" i="93" s="1"/>
  <c r="E19" i="93" s="1"/>
  <c r="E20" i="93" s="1"/>
  <c r="E21" i="93" s="1"/>
  <c r="E22" i="93" s="1"/>
  <c r="E23" i="93" s="1"/>
  <c r="E24" i="93" s="1"/>
  <c r="E25" i="93" s="1"/>
  <c r="E26" i="93" s="1"/>
  <c r="E27" i="93" s="1"/>
  <c r="E28" i="93" s="1"/>
  <c r="E29" i="93" s="1"/>
  <c r="E30" i="93" s="1"/>
  <c r="E31" i="93" s="1"/>
  <c r="E32" i="93" s="1"/>
  <c r="E33" i="93" s="1"/>
  <c r="E34" i="93" s="1"/>
  <c r="F5" i="93"/>
  <c r="G5" i="93"/>
  <c r="G6" i="93" s="1"/>
  <c r="G7" i="93" s="1"/>
  <c r="G8" i="93" s="1"/>
  <c r="G9" i="93" s="1"/>
  <c r="G10" i="93" s="1"/>
  <c r="G11" i="93" s="1"/>
  <c r="G12" i="93" s="1"/>
  <c r="G13" i="93" s="1"/>
  <c r="G14" i="93" s="1"/>
  <c r="G15" i="93" s="1"/>
  <c r="G16" i="93" s="1"/>
  <c r="G17" i="93" s="1"/>
  <c r="G18" i="93" s="1"/>
  <c r="G19" i="93" s="1"/>
  <c r="G20" i="93" s="1"/>
  <c r="G21" i="93" s="1"/>
  <c r="G22" i="93" s="1"/>
  <c r="G23" i="93" s="1"/>
  <c r="G24" i="93" s="1"/>
  <c r="G25" i="93" s="1"/>
  <c r="G26" i="93" s="1"/>
  <c r="G27" i="93" s="1"/>
  <c r="G28" i="93" s="1"/>
  <c r="G29" i="93" s="1"/>
  <c r="G30" i="93" s="1"/>
  <c r="G31" i="93" s="1"/>
  <c r="G32" i="93" s="1"/>
  <c r="G33" i="93" s="1"/>
  <c r="G34" i="93" s="1"/>
  <c r="I5" i="93"/>
  <c r="I6" i="93" s="1"/>
  <c r="I7" i="93" s="1"/>
  <c r="J5" i="93"/>
  <c r="J6" i="93" s="1"/>
  <c r="J7" i="93" s="1"/>
  <c r="J8" i="93" s="1"/>
  <c r="J9" i="93" s="1"/>
  <c r="J10" i="93" s="1"/>
  <c r="J11" i="93" s="1"/>
  <c r="J12" i="93" s="1"/>
  <c r="J13" i="93" s="1"/>
  <c r="J14" i="93" s="1"/>
  <c r="J15" i="93" s="1"/>
  <c r="J16" i="93" s="1"/>
  <c r="J17" i="93" s="1"/>
  <c r="J18" i="93" s="1"/>
  <c r="J19" i="93" s="1"/>
  <c r="J20" i="93" s="1"/>
  <c r="J21" i="93" s="1"/>
  <c r="J22" i="93" s="1"/>
  <c r="K5" i="93"/>
  <c r="L5" i="93"/>
  <c r="L6" i="93" s="1"/>
  <c r="D6" i="93"/>
  <c r="D7" i="93" s="1"/>
  <c r="D8" i="93" s="1"/>
  <c r="D9" i="93" s="1"/>
  <c r="D10" i="93" s="1"/>
  <c r="D11" i="93" s="1"/>
  <c r="D12" i="93" s="1"/>
  <c r="D13" i="93" s="1"/>
  <c r="D14" i="93" s="1"/>
  <c r="D15" i="93" s="1"/>
  <c r="D16" i="93" s="1"/>
  <c r="D17" i="93" s="1"/>
  <c r="D18" i="93" s="1"/>
  <c r="D19" i="93" s="1"/>
  <c r="D20" i="93" s="1"/>
  <c r="D21" i="93" s="1"/>
  <c r="D22" i="93" s="1"/>
  <c r="D23" i="93" s="1"/>
  <c r="D24" i="93" s="1"/>
  <c r="D25" i="93" s="1"/>
  <c r="D26" i="93" s="1"/>
  <c r="D27" i="93" s="1"/>
  <c r="D28" i="93" s="1"/>
  <c r="D29" i="93" s="1"/>
  <c r="D30" i="93" s="1"/>
  <c r="D31" i="93" s="1"/>
  <c r="D32" i="93" s="1"/>
  <c r="D33" i="93" s="1"/>
  <c r="D34" i="93" s="1"/>
  <c r="F6" i="93"/>
  <c r="F7" i="93" s="1"/>
  <c r="F8" i="93" s="1"/>
  <c r="F9" i="93" s="1"/>
  <c r="F10" i="93" s="1"/>
  <c r="F11" i="93" s="1"/>
  <c r="F12" i="93" s="1"/>
  <c r="F13" i="93" s="1"/>
  <c r="F14" i="93" s="1"/>
  <c r="F15" i="93" s="1"/>
  <c r="F16" i="93" s="1"/>
  <c r="F17" i="93" s="1"/>
  <c r="F18" i="93" s="1"/>
  <c r="F19" i="93" s="1"/>
  <c r="F20" i="93" s="1"/>
  <c r="F21" i="93" s="1"/>
  <c r="F22" i="93" s="1"/>
  <c r="F23" i="93" s="1"/>
  <c r="F24" i="93" s="1"/>
  <c r="F25" i="93" s="1"/>
  <c r="F26" i="93" s="1"/>
  <c r="F27" i="93" s="1"/>
  <c r="F28" i="93" s="1"/>
  <c r="F29" i="93" s="1"/>
  <c r="F30" i="93" s="1"/>
  <c r="F31" i="93" s="1"/>
  <c r="F32" i="93" s="1"/>
  <c r="F33" i="93" s="1"/>
  <c r="F34" i="93" s="1"/>
  <c r="K6" i="93"/>
  <c r="J6" i="92"/>
  <c r="J7" i="92"/>
  <c r="J8" i="92"/>
  <c r="O10" i="92" s="1"/>
  <c r="K8" i="92"/>
  <c r="J9" i="92"/>
  <c r="K9" i="92"/>
  <c r="J10" i="92"/>
  <c r="O13" i="92" s="1"/>
  <c r="K10" i="92"/>
  <c r="L10" i="92"/>
  <c r="J11" i="92"/>
  <c r="K11" i="92"/>
  <c r="P16" i="92" s="1"/>
  <c r="L11" i="92"/>
  <c r="J12" i="92"/>
  <c r="K12" i="92"/>
  <c r="L12" i="92"/>
  <c r="M12" i="92"/>
  <c r="J13" i="92"/>
  <c r="K13" i="92"/>
  <c r="L13" i="92"/>
  <c r="M13" i="92"/>
  <c r="J14" i="92"/>
  <c r="K14" i="92"/>
  <c r="L14" i="92"/>
  <c r="M14" i="92"/>
  <c r="J15" i="92"/>
  <c r="K15" i="92"/>
  <c r="L15" i="92"/>
  <c r="M15" i="92"/>
  <c r="J16" i="92"/>
  <c r="K16" i="92"/>
  <c r="L16" i="92"/>
  <c r="M16" i="92"/>
  <c r="J17" i="92"/>
  <c r="K17" i="92"/>
  <c r="L17" i="92"/>
  <c r="M17" i="92"/>
  <c r="J18" i="92"/>
  <c r="K18" i="92"/>
  <c r="L18" i="92"/>
  <c r="M18" i="92"/>
  <c r="J19" i="92"/>
  <c r="K19" i="92"/>
  <c r="L19" i="92"/>
  <c r="Q26" i="92" s="1"/>
  <c r="M19" i="92"/>
  <c r="J20" i="92"/>
  <c r="K20" i="92"/>
  <c r="L20" i="92"/>
  <c r="M20" i="92"/>
  <c r="J21" i="92"/>
  <c r="O22" i="92" s="1"/>
  <c r="K21" i="92"/>
  <c r="L21" i="92"/>
  <c r="M21" i="92"/>
  <c r="O21" i="92"/>
  <c r="J22" i="92"/>
  <c r="O23" i="92" s="1"/>
  <c r="K22" i="92"/>
  <c r="L22" i="92"/>
  <c r="M22" i="92"/>
  <c r="J23" i="92"/>
  <c r="K23" i="92"/>
  <c r="L23" i="92"/>
  <c r="M23" i="92"/>
  <c r="J24" i="92"/>
  <c r="K24" i="92"/>
  <c r="L24" i="92"/>
  <c r="M24" i="92"/>
  <c r="J25" i="92"/>
  <c r="K25" i="92"/>
  <c r="L25" i="92"/>
  <c r="M25" i="92"/>
  <c r="J26" i="92"/>
  <c r="K26" i="92"/>
  <c r="P30" i="92" s="1"/>
  <c r="L26" i="92"/>
  <c r="M26" i="92"/>
  <c r="J27" i="92"/>
  <c r="K27" i="92"/>
  <c r="L27" i="92"/>
  <c r="M27" i="92"/>
  <c r="J28" i="92"/>
  <c r="K28" i="92"/>
  <c r="L28" i="92"/>
  <c r="M28" i="92"/>
  <c r="J29" i="92"/>
  <c r="O32" i="92" s="1"/>
  <c r="K29" i="92"/>
  <c r="L29" i="92"/>
  <c r="M29" i="92"/>
  <c r="P29" i="92"/>
  <c r="J30" i="92"/>
  <c r="K30" i="92"/>
  <c r="L30" i="92"/>
  <c r="M30" i="92"/>
  <c r="J31" i="92"/>
  <c r="K31" i="92"/>
  <c r="L31" i="92"/>
  <c r="M31" i="92"/>
  <c r="J32" i="92"/>
  <c r="K32" i="92"/>
  <c r="L32" i="92"/>
  <c r="M32" i="92"/>
  <c r="J33" i="92"/>
  <c r="K33" i="92"/>
  <c r="L33" i="92"/>
  <c r="M33" i="92"/>
  <c r="P33" i="92"/>
  <c r="K7" i="93" l="1"/>
  <c r="I8" i="93"/>
  <c r="K8" i="93"/>
  <c r="P22" i="92"/>
  <c r="Q18" i="92"/>
  <c r="E23" i="94"/>
  <c r="G23" i="94" s="1"/>
  <c r="O20" i="92"/>
  <c r="P19" i="92"/>
  <c r="E17" i="94"/>
  <c r="G17" i="94" s="1"/>
  <c r="Q31" i="92"/>
  <c r="R24" i="92"/>
  <c r="Q25" i="92"/>
  <c r="Q24" i="92"/>
  <c r="Q20" i="92"/>
  <c r="Q22" i="92"/>
  <c r="D5" i="96"/>
  <c r="F5" i="96" s="1"/>
  <c r="E5" i="96"/>
  <c r="F4" i="96"/>
  <c r="G4" i="96"/>
  <c r="Q32" i="92"/>
  <c r="P26" i="92"/>
  <c r="P28" i="92"/>
  <c r="P25" i="92"/>
  <c r="P27" i="92"/>
  <c r="Q19" i="92"/>
  <c r="P15" i="92"/>
  <c r="P14" i="92"/>
  <c r="K9" i="93"/>
  <c r="K10" i="93" s="1"/>
  <c r="K11" i="93" s="1"/>
  <c r="K12" i="93" s="1"/>
  <c r="K13" i="93" s="1"/>
  <c r="K14" i="93" s="1"/>
  <c r="K15" i="93" s="1"/>
  <c r="K16" i="93" s="1"/>
  <c r="K17" i="93" s="1"/>
  <c r="K18" i="93" s="1"/>
  <c r="K19" i="93" s="1"/>
  <c r="K20" i="93" s="1"/>
  <c r="K21" i="93" s="1"/>
  <c r="K22" i="93" s="1"/>
  <c r="K23" i="93" s="1"/>
  <c r="K24" i="93" s="1"/>
  <c r="K25" i="93" s="1"/>
  <c r="K26" i="93" s="1"/>
  <c r="K27" i="93" s="1"/>
  <c r="K28" i="93" s="1"/>
  <c r="K29" i="93" s="1"/>
  <c r="K30" i="93" s="1"/>
  <c r="K31" i="93" s="1"/>
  <c r="K32" i="93" s="1"/>
  <c r="K33" i="93" s="1"/>
  <c r="K34" i="93" s="1"/>
  <c r="P24" i="92"/>
  <c r="P23" i="92"/>
  <c r="J23" i="93"/>
  <c r="J24" i="93" s="1"/>
  <c r="J25" i="93" s="1"/>
  <c r="J26" i="93" s="1"/>
  <c r="J27" i="93" s="1"/>
  <c r="J28" i="93" s="1"/>
  <c r="J29" i="93" s="1"/>
  <c r="J30" i="93" s="1"/>
  <c r="J31" i="93" s="1"/>
  <c r="J32" i="93" s="1"/>
  <c r="J33" i="93" s="1"/>
  <c r="J34" i="93" s="1"/>
  <c r="Q23" i="92"/>
  <c r="Q27" i="92"/>
  <c r="R22" i="92"/>
  <c r="R21" i="92"/>
  <c r="R23" i="92"/>
  <c r="O16" i="92"/>
  <c r="O18" i="92"/>
  <c r="O17" i="92"/>
  <c r="I9" i="93"/>
  <c r="I10" i="93" s="1"/>
  <c r="I11" i="93" s="1"/>
  <c r="I12" i="93" s="1"/>
  <c r="I13" i="93" s="1"/>
  <c r="I14" i="93" s="1"/>
  <c r="I15" i="93" s="1"/>
  <c r="I16" i="93" s="1"/>
  <c r="I17" i="93" s="1"/>
  <c r="I18" i="93" s="1"/>
  <c r="I19" i="93" s="1"/>
  <c r="I20" i="93" s="1"/>
  <c r="I21" i="93" s="1"/>
  <c r="I22" i="93" s="1"/>
  <c r="I23" i="93" s="1"/>
  <c r="I24" i="93" s="1"/>
  <c r="I25" i="93" s="1"/>
  <c r="I26" i="93" s="1"/>
  <c r="I27" i="93" s="1"/>
  <c r="I28" i="93" s="1"/>
  <c r="I29" i="93" s="1"/>
  <c r="I30" i="93" s="1"/>
  <c r="I31" i="93" s="1"/>
  <c r="I32" i="93" s="1"/>
  <c r="I33" i="93" s="1"/>
  <c r="I34" i="93" s="1"/>
  <c r="F31" i="94"/>
  <c r="H32" i="94" s="1"/>
  <c r="E21" i="94"/>
  <c r="F21" i="94" s="1"/>
  <c r="E26" i="95"/>
  <c r="E18" i="95"/>
  <c r="F18" i="95" s="1"/>
  <c r="Q33" i="92"/>
  <c r="O33" i="92"/>
  <c r="Q29" i="92"/>
  <c r="O29" i="92"/>
  <c r="O26" i="92"/>
  <c r="R29" i="92"/>
  <c r="P18" i="92"/>
  <c r="P13" i="92"/>
  <c r="E25" i="94"/>
  <c r="F25" i="94" s="1"/>
  <c r="E30" i="95"/>
  <c r="E22" i="95"/>
  <c r="E14" i="95"/>
  <c r="F14" i="95" s="1"/>
  <c r="P32" i="92"/>
  <c r="O31" i="92"/>
  <c r="Q28" i="92"/>
  <c r="O27" i="92"/>
  <c r="O24" i="92"/>
  <c r="Q21" i="92"/>
  <c r="O15" i="92"/>
  <c r="F27" i="94"/>
  <c r="H28" i="94" s="1"/>
  <c r="E11" i="94"/>
  <c r="L4" i="95"/>
  <c r="N5" i="95" s="1"/>
  <c r="P43" i="97"/>
  <c r="G21" i="94"/>
  <c r="P31" i="92"/>
  <c r="Q30" i="92"/>
  <c r="O25" i="92"/>
  <c r="O9" i="92"/>
  <c r="L7" i="93"/>
  <c r="L8" i="93" s="1"/>
  <c r="L9" i="93" s="1"/>
  <c r="L10" i="93" s="1"/>
  <c r="L11" i="93" s="1"/>
  <c r="L12" i="93" s="1"/>
  <c r="L13" i="93" s="1"/>
  <c r="L14" i="93" s="1"/>
  <c r="L15" i="93" s="1"/>
  <c r="L16" i="93" s="1"/>
  <c r="L17" i="93" s="1"/>
  <c r="L18" i="93" s="1"/>
  <c r="L19" i="93" s="1"/>
  <c r="L20" i="93" s="1"/>
  <c r="L21" i="93" s="1"/>
  <c r="L22" i="93" s="1"/>
  <c r="L23" i="93" s="1"/>
  <c r="L24" i="93" s="1"/>
  <c r="L25" i="93" s="1"/>
  <c r="L26" i="93" s="1"/>
  <c r="L27" i="93" s="1"/>
  <c r="L28" i="93" s="1"/>
  <c r="L29" i="93" s="1"/>
  <c r="L30" i="93" s="1"/>
  <c r="L31" i="93" s="1"/>
  <c r="L32" i="93" s="1"/>
  <c r="L33" i="93" s="1"/>
  <c r="L34" i="93" s="1"/>
  <c r="E29" i="94"/>
  <c r="F29" i="94" s="1"/>
  <c r="F23" i="94"/>
  <c r="H24" i="94" s="1"/>
  <c r="E19" i="94"/>
  <c r="G19" i="94" s="1"/>
  <c r="E18" i="94"/>
  <c r="G18" i="94" s="1"/>
  <c r="E11" i="95"/>
  <c r="F11" i="95" s="1"/>
  <c r="I44" i="97"/>
  <c r="J44" i="97"/>
  <c r="G24" i="95"/>
  <c r="F30" i="95"/>
  <c r="G29" i="95"/>
  <c r="E29" i="95"/>
  <c r="F29" i="95" s="1"/>
  <c r="E25" i="95"/>
  <c r="F25" i="95" s="1"/>
  <c r="E21" i="95"/>
  <c r="F21" i="95" s="1"/>
  <c r="E17" i="95"/>
  <c r="F17" i="95" s="1"/>
  <c r="E13" i="95"/>
  <c r="F13" i="95" s="1"/>
  <c r="E32" i="95"/>
  <c r="F32" i="95" s="1"/>
  <c r="E28" i="95"/>
  <c r="F28" i="95" s="1"/>
  <c r="E24" i="95"/>
  <c r="F24" i="95" s="1"/>
  <c r="E20" i="95"/>
  <c r="F20" i="95" s="1"/>
  <c r="E16" i="95"/>
  <c r="F16" i="95" s="1"/>
  <c r="E12" i="95"/>
  <c r="F12" i="95" s="1"/>
  <c r="J6" i="95"/>
  <c r="E31" i="95"/>
  <c r="G30" i="95"/>
  <c r="E27" i="95"/>
  <c r="G26" i="95"/>
  <c r="E23" i="95"/>
  <c r="G22" i="95"/>
  <c r="E19" i="95"/>
  <c r="E15" i="95"/>
  <c r="F26" i="95"/>
  <c r="F22" i="95"/>
  <c r="K5" i="95"/>
  <c r="L5" i="95" s="1"/>
  <c r="G25" i="94"/>
  <c r="H26" i="94" s="1"/>
  <c r="H22" i="94"/>
  <c r="G11" i="94"/>
  <c r="J5" i="94"/>
  <c r="K5" i="94"/>
  <c r="L4" i="94"/>
  <c r="M4" i="94"/>
  <c r="E32" i="94"/>
  <c r="E28" i="94"/>
  <c r="E24" i="94"/>
  <c r="E20" i="94"/>
  <c r="E16" i="94"/>
  <c r="E12" i="94"/>
  <c r="F11" i="94"/>
  <c r="E15" i="94"/>
  <c r="G15" i="94" s="1"/>
  <c r="F26" i="94"/>
  <c r="H27" i="94" s="1"/>
  <c r="E30" i="94"/>
  <c r="G30" i="94" s="1"/>
  <c r="E26" i="94"/>
  <c r="G26" i="94" s="1"/>
  <c r="E22" i="94"/>
  <c r="G22" i="94" s="1"/>
  <c r="E14" i="94"/>
  <c r="G14" i="94" s="1"/>
  <c r="E13" i="94"/>
  <c r="R28" i="92"/>
  <c r="R25" i="92"/>
  <c r="P20" i="92"/>
  <c r="O19" i="92"/>
  <c r="O14" i="92"/>
  <c r="O11" i="92"/>
  <c r="R32" i="92"/>
  <c r="R26" i="92"/>
  <c r="P21" i="92"/>
  <c r="R31" i="92"/>
  <c r="R27" i="92"/>
  <c r="O30" i="92"/>
  <c r="O28" i="92"/>
  <c r="O12" i="92"/>
  <c r="R30" i="92"/>
  <c r="Q17" i="92"/>
  <c r="R33" i="92"/>
  <c r="P17" i="92"/>
  <c r="D6" i="96" l="1"/>
  <c r="H5" i="96"/>
  <c r="G5" i="96"/>
  <c r="G17" i="95"/>
  <c r="G29" i="94"/>
  <c r="H30" i="94" s="1"/>
  <c r="E6" i="96"/>
  <c r="F6" i="96" s="1"/>
  <c r="G14" i="95"/>
  <c r="H15" i="95" s="1"/>
  <c r="K6" i="95"/>
  <c r="G11" i="95"/>
  <c r="F17" i="94"/>
  <c r="H18" i="94" s="1"/>
  <c r="H27" i="95"/>
  <c r="H12" i="94"/>
  <c r="M5" i="95"/>
  <c r="G13" i="95"/>
  <c r="G25" i="95"/>
  <c r="H26" i="95" s="1"/>
  <c r="F19" i="94"/>
  <c r="H20" i="94" s="1"/>
  <c r="N6" i="95"/>
  <c r="G18" i="95"/>
  <c r="H6" i="96"/>
  <c r="F18" i="94"/>
  <c r="H19" i="94" s="1"/>
  <c r="G21" i="95"/>
  <c r="P44" i="97"/>
  <c r="I45" i="97"/>
  <c r="J45" i="97"/>
  <c r="D7" i="96"/>
  <c r="G32" i="95"/>
  <c r="H34" i="95" s="1"/>
  <c r="F27" i="95"/>
  <c r="G27" i="95"/>
  <c r="F31" i="95"/>
  <c r="G31" i="95"/>
  <c r="J7" i="95"/>
  <c r="K7" i="95"/>
  <c r="L6" i="95"/>
  <c r="M6" i="95"/>
  <c r="H14" i="95"/>
  <c r="F15" i="95"/>
  <c r="G15" i="95"/>
  <c r="F19" i="95"/>
  <c r="G19" i="95"/>
  <c r="H19" i="95"/>
  <c r="H22" i="95"/>
  <c r="G12" i="95"/>
  <c r="H13" i="95" s="1"/>
  <c r="H31" i="95"/>
  <c r="H23" i="95"/>
  <c r="F23" i="95"/>
  <c r="G23" i="95"/>
  <c r="H12" i="95"/>
  <c r="G28" i="95"/>
  <c r="H29" i="95" s="1"/>
  <c r="H18" i="95"/>
  <c r="H25" i="95"/>
  <c r="H30" i="95"/>
  <c r="G16" i="95"/>
  <c r="H17" i="95" s="1"/>
  <c r="G20" i="95"/>
  <c r="H21" i="95" s="1"/>
  <c r="F12" i="94"/>
  <c r="G12" i="94"/>
  <c r="F13" i="94"/>
  <c r="G13" i="94"/>
  <c r="J6" i="94"/>
  <c r="K6" i="94"/>
  <c r="L5" i="94"/>
  <c r="N6" i="94" s="1"/>
  <c r="M5" i="94"/>
  <c r="F14" i="94"/>
  <c r="H15" i="94" s="1"/>
  <c r="F20" i="94"/>
  <c r="G20" i="94"/>
  <c r="F15" i="94"/>
  <c r="H16" i="94" s="1"/>
  <c r="F32" i="94"/>
  <c r="G32" i="94"/>
  <c r="F24" i="94"/>
  <c r="G24" i="94"/>
  <c r="N5" i="94"/>
  <c r="F16" i="94"/>
  <c r="G16" i="94"/>
  <c r="F22" i="94"/>
  <c r="H23" i="94" s="1"/>
  <c r="F28" i="94"/>
  <c r="G28" i="94"/>
  <c r="F30" i="94"/>
  <c r="H31" i="94" s="1"/>
  <c r="E7" i="96" l="1"/>
  <c r="G6" i="96"/>
  <c r="H25" i="94"/>
  <c r="H28" i="95"/>
  <c r="P45" i="97"/>
  <c r="I46" i="97"/>
  <c r="J46" i="97"/>
  <c r="G7" i="96"/>
  <c r="E8" i="96"/>
  <c r="F7" i="96"/>
  <c r="D8" i="96"/>
  <c r="H7" i="96"/>
  <c r="N7" i="95"/>
  <c r="H38" i="95"/>
  <c r="H20" i="95"/>
  <c r="J8" i="95"/>
  <c r="K8" i="95"/>
  <c r="L7" i="95"/>
  <c r="M7" i="95"/>
  <c r="H33" i="95"/>
  <c r="H24" i="95"/>
  <c r="H36" i="95"/>
  <c r="H37" i="95"/>
  <c r="H16" i="95"/>
  <c r="H32" i="95"/>
  <c r="H35" i="95"/>
  <c r="Q3" i="95"/>
  <c r="Q4" i="95"/>
  <c r="H33" i="94"/>
  <c r="H37" i="94"/>
  <c r="H34" i="94"/>
  <c r="H38" i="94"/>
  <c r="H35" i="94"/>
  <c r="H36" i="94"/>
  <c r="L6" i="94"/>
  <c r="M6" i="94"/>
  <c r="J7" i="94"/>
  <c r="K7" i="94"/>
  <c r="H14" i="94"/>
  <c r="H21" i="94"/>
  <c r="H29" i="94"/>
  <c r="H17" i="94"/>
  <c r="H13" i="94"/>
  <c r="I7" i="96" l="1"/>
  <c r="O7" i="96" s="1"/>
  <c r="H8" i="96"/>
  <c r="I8" i="96" s="1"/>
  <c r="P46" i="97"/>
  <c r="I47" i="97"/>
  <c r="J47" i="97"/>
  <c r="F8" i="96"/>
  <c r="D9" i="96"/>
  <c r="G8" i="96"/>
  <c r="E9" i="96"/>
  <c r="N8" i="95"/>
  <c r="K9" i="95"/>
  <c r="L8" i="95"/>
  <c r="M8" i="95"/>
  <c r="J9" i="95"/>
  <c r="Q4" i="94"/>
  <c r="U4" i="95" s="1"/>
  <c r="Q3" i="94"/>
  <c r="U3" i="95" s="1"/>
  <c r="N7" i="94"/>
  <c r="L7" i="94"/>
  <c r="K8" i="94"/>
  <c r="M7" i="94"/>
  <c r="J8" i="94"/>
  <c r="N7" i="96" l="1"/>
  <c r="P47" i="97"/>
  <c r="I48" i="97"/>
  <c r="J48" i="97"/>
  <c r="J49" i="97"/>
  <c r="O8" i="96"/>
  <c r="F9" i="96"/>
  <c r="D10" i="96"/>
  <c r="G9" i="96"/>
  <c r="E10" i="96"/>
  <c r="H9" i="96"/>
  <c r="L9" i="95"/>
  <c r="M9" i="95"/>
  <c r="J10" i="95"/>
  <c r="K10" i="95"/>
  <c r="N9" i="95"/>
  <c r="J9" i="94"/>
  <c r="K9" i="94"/>
  <c r="L8" i="94"/>
  <c r="M8" i="94"/>
  <c r="N8" i="94"/>
  <c r="P48" i="97" l="1"/>
  <c r="I49" i="97"/>
  <c r="I9" i="96"/>
  <c r="O9" i="96" s="1"/>
  <c r="F10" i="96"/>
  <c r="D11" i="96"/>
  <c r="G10" i="96"/>
  <c r="E11" i="96"/>
  <c r="H10" i="96"/>
  <c r="I10" i="96" s="1"/>
  <c r="M10" i="95"/>
  <c r="L10" i="95"/>
  <c r="N11" i="95" s="1"/>
  <c r="K11" i="95"/>
  <c r="J11" i="95"/>
  <c r="N10" i="95"/>
  <c r="J10" i="94"/>
  <c r="K10" i="94"/>
  <c r="L9" i="94"/>
  <c r="M9" i="94"/>
  <c r="N9" i="94"/>
  <c r="P49" i="97" l="1"/>
  <c r="I50" i="97"/>
  <c r="J50" i="97"/>
  <c r="N10" i="96"/>
  <c r="O10" i="96"/>
  <c r="N9" i="96"/>
  <c r="G11" i="96"/>
  <c r="E12" i="96"/>
  <c r="F11" i="96"/>
  <c r="D12" i="96"/>
  <c r="H11" i="96"/>
  <c r="L11" i="95"/>
  <c r="J12" i="95"/>
  <c r="M11" i="95"/>
  <c r="K12" i="95"/>
  <c r="N10" i="94"/>
  <c r="J11" i="94"/>
  <c r="L10" i="94"/>
  <c r="K11" i="94"/>
  <c r="M10" i="94"/>
  <c r="P50" i="97" l="1"/>
  <c r="I51" i="97"/>
  <c r="J51" i="97"/>
  <c r="I11" i="96"/>
  <c r="N11" i="96" s="1"/>
  <c r="F12" i="96"/>
  <c r="D13" i="96"/>
  <c r="G12" i="96"/>
  <c r="E13" i="96"/>
  <c r="H12" i="96"/>
  <c r="L12" i="95"/>
  <c r="J13" i="95"/>
  <c r="M12" i="95"/>
  <c r="K13" i="95"/>
  <c r="N12" i="95"/>
  <c r="N11" i="94"/>
  <c r="L11" i="94"/>
  <c r="J12" i="94"/>
  <c r="M11" i="94"/>
  <c r="K12" i="94"/>
  <c r="H13" i="96" l="1"/>
  <c r="I13" i="96" s="1"/>
  <c r="P51" i="97"/>
  <c r="I52" i="97"/>
  <c r="J52" i="97"/>
  <c r="O13" i="96"/>
  <c r="N13" i="96"/>
  <c r="O11" i="96"/>
  <c r="I12" i="96"/>
  <c r="N12" i="96" s="1"/>
  <c r="F13" i="96"/>
  <c r="D14" i="96"/>
  <c r="G13" i="96"/>
  <c r="E14" i="96"/>
  <c r="L13" i="95"/>
  <c r="J14" i="95"/>
  <c r="M13" i="95"/>
  <c r="K14" i="95"/>
  <c r="N13" i="95"/>
  <c r="L12" i="94"/>
  <c r="J13" i="94"/>
  <c r="M12" i="94"/>
  <c r="K13" i="94"/>
  <c r="N12" i="94"/>
  <c r="P52" i="97" l="1"/>
  <c r="N13" i="94"/>
  <c r="J53" i="97"/>
  <c r="I53" i="97"/>
  <c r="F14" i="96"/>
  <c r="D15" i="96"/>
  <c r="G14" i="96"/>
  <c r="E15" i="96"/>
  <c r="H14" i="96"/>
  <c r="O12" i="96"/>
  <c r="M14" i="95"/>
  <c r="L14" i="95"/>
  <c r="N15" i="95" s="1"/>
  <c r="J15" i="95"/>
  <c r="K15" i="95"/>
  <c r="N14" i="95"/>
  <c r="M13" i="94"/>
  <c r="K14" i="94"/>
  <c r="L13" i="94"/>
  <c r="J14" i="94"/>
  <c r="P53" i="97" l="1"/>
  <c r="N14" i="94"/>
  <c r="I54" i="97"/>
  <c r="J54" i="97"/>
  <c r="I15" i="96"/>
  <c r="I14" i="96"/>
  <c r="N14" i="96" s="1"/>
  <c r="G15" i="96"/>
  <c r="E16" i="96"/>
  <c r="F15" i="96"/>
  <c r="D16" i="96"/>
  <c r="H15" i="96"/>
  <c r="L15" i="95"/>
  <c r="J16" i="95"/>
  <c r="M15" i="95"/>
  <c r="K16" i="95"/>
  <c r="L14" i="94"/>
  <c r="J15" i="94"/>
  <c r="M14" i="94"/>
  <c r="K15" i="94"/>
  <c r="N15" i="94" l="1"/>
  <c r="P54" i="97"/>
  <c r="I55" i="97"/>
  <c r="J55" i="97"/>
  <c r="H16" i="96"/>
  <c r="O14" i="96"/>
  <c r="N15" i="96"/>
  <c r="O15" i="96"/>
  <c r="F16" i="96"/>
  <c r="D17" i="96"/>
  <c r="G16" i="96"/>
  <c r="E17" i="96"/>
  <c r="L16" i="95"/>
  <c r="J17" i="95"/>
  <c r="M16" i="95"/>
  <c r="K17" i="95"/>
  <c r="N16" i="95"/>
  <c r="L15" i="94"/>
  <c r="J16" i="94"/>
  <c r="M15" i="94"/>
  <c r="K16" i="94"/>
  <c r="P55" i="97" l="1"/>
  <c r="N17" i="95"/>
  <c r="H17" i="96"/>
  <c r="I17" i="96" s="1"/>
  <c r="N17" i="96" s="1"/>
  <c r="I56" i="97"/>
  <c r="J57" i="97" s="1"/>
  <c r="J56" i="97"/>
  <c r="F17" i="96"/>
  <c r="D18" i="96"/>
  <c r="G17" i="96"/>
  <c r="E18" i="96"/>
  <c r="I16" i="96"/>
  <c r="N16" i="96" s="1"/>
  <c r="L17" i="95"/>
  <c r="J18" i="95"/>
  <c r="M17" i="95"/>
  <c r="K18" i="95"/>
  <c r="L16" i="94"/>
  <c r="J17" i="94"/>
  <c r="M16" i="94"/>
  <c r="K17" i="94"/>
  <c r="N16" i="94"/>
  <c r="O17" i="96" l="1"/>
  <c r="N17" i="94"/>
  <c r="P56" i="97"/>
  <c r="I57" i="97"/>
  <c r="D19" i="96"/>
  <c r="G18" i="96"/>
  <c r="E19" i="96"/>
  <c r="F18" i="96"/>
  <c r="H19" i="96" s="1"/>
  <c r="H18" i="96"/>
  <c r="O16" i="96"/>
  <c r="K19" i="95"/>
  <c r="L18" i="95"/>
  <c r="J19" i="95"/>
  <c r="M18" i="95"/>
  <c r="N18" i="95"/>
  <c r="M17" i="94"/>
  <c r="K18" i="94"/>
  <c r="L17" i="94"/>
  <c r="J18" i="94"/>
  <c r="N18" i="94" l="1"/>
  <c r="P57" i="97"/>
  <c r="I58" i="97"/>
  <c r="J58" i="97"/>
  <c r="I18" i="96"/>
  <c r="N18" i="96" s="1"/>
  <c r="I19" i="96"/>
  <c r="O19" i="96" s="1"/>
  <c r="G19" i="96"/>
  <c r="E20" i="96"/>
  <c r="F19" i="96"/>
  <c r="D20" i="96"/>
  <c r="N19" i="95"/>
  <c r="L19" i="95"/>
  <c r="J20" i="95"/>
  <c r="M19" i="95"/>
  <c r="K20" i="95"/>
  <c r="L18" i="94"/>
  <c r="J19" i="94"/>
  <c r="M18" i="94"/>
  <c r="K19" i="94"/>
  <c r="H20" i="96" l="1"/>
  <c r="N19" i="94"/>
  <c r="P58" i="97"/>
  <c r="I59" i="97"/>
  <c r="J59" i="97"/>
  <c r="F20" i="96"/>
  <c r="D21" i="96"/>
  <c r="G20" i="96"/>
  <c r="E21" i="96"/>
  <c r="N19" i="96"/>
  <c r="I20" i="96"/>
  <c r="O20" i="96" s="1"/>
  <c r="O18" i="96"/>
  <c r="L20" i="95"/>
  <c r="J21" i="95"/>
  <c r="M20" i="95"/>
  <c r="K21" i="95"/>
  <c r="N20" i="95"/>
  <c r="L19" i="94"/>
  <c r="J20" i="94"/>
  <c r="M19" i="94"/>
  <c r="K20" i="94"/>
  <c r="N20" i="94" l="1"/>
  <c r="P59" i="97"/>
  <c r="I60" i="97"/>
  <c r="J60" i="97"/>
  <c r="N20" i="96"/>
  <c r="F21" i="96"/>
  <c r="D22" i="96"/>
  <c r="G21" i="96"/>
  <c r="E22" i="96"/>
  <c r="H21" i="96"/>
  <c r="L21" i="95"/>
  <c r="J22" i="95"/>
  <c r="M21" i="95"/>
  <c r="K22" i="95"/>
  <c r="N21" i="95"/>
  <c r="L20" i="94"/>
  <c r="J21" i="94"/>
  <c r="M20" i="94"/>
  <c r="K21" i="94"/>
  <c r="P60" i="97" l="1"/>
  <c r="I61" i="97"/>
  <c r="J61" i="97"/>
  <c r="I21" i="96"/>
  <c r="O21" i="96" s="1"/>
  <c r="I22" i="96"/>
  <c r="D23" i="96"/>
  <c r="F22" i="96"/>
  <c r="G22" i="96"/>
  <c r="E23" i="96"/>
  <c r="H22" i="96"/>
  <c r="K23" i="95"/>
  <c r="M22" i="95"/>
  <c r="L22" i="95"/>
  <c r="N23" i="95" s="1"/>
  <c r="J23" i="95"/>
  <c r="N22" i="95"/>
  <c r="M21" i="94"/>
  <c r="K22" i="94"/>
  <c r="L21" i="94"/>
  <c r="J22" i="94"/>
  <c r="N21" i="94"/>
  <c r="N22" i="94" l="1"/>
  <c r="X61" i="97"/>
  <c r="P61" i="97"/>
  <c r="G23" i="96"/>
  <c r="E24" i="96"/>
  <c r="F23" i="96"/>
  <c r="D24" i="96"/>
  <c r="N22" i="96"/>
  <c r="O22" i="96"/>
  <c r="N21" i="96"/>
  <c r="H23" i="96"/>
  <c r="L23" i="95"/>
  <c r="J24" i="95"/>
  <c r="M23" i="95"/>
  <c r="K24" i="95"/>
  <c r="L22" i="94"/>
  <c r="J23" i="94"/>
  <c r="M22" i="94"/>
  <c r="K23" i="94"/>
  <c r="H24" i="96" l="1"/>
  <c r="Y61" i="97"/>
  <c r="Y8" i="97"/>
  <c r="X8" i="97"/>
  <c r="X9" i="97"/>
  <c r="Y9" i="97"/>
  <c r="X10" i="97"/>
  <c r="Y10" i="97"/>
  <c r="X11" i="97"/>
  <c r="Y11" i="97"/>
  <c r="Y12" i="97"/>
  <c r="X12" i="97"/>
  <c r="X13" i="97"/>
  <c r="Y13" i="97"/>
  <c r="X14" i="97"/>
  <c r="Y14" i="97"/>
  <c r="X15" i="97"/>
  <c r="Y15" i="97"/>
  <c r="X16" i="97"/>
  <c r="Y16" i="97"/>
  <c r="X17" i="97"/>
  <c r="Y17" i="97"/>
  <c r="Y18" i="97"/>
  <c r="X18" i="97"/>
  <c r="X19" i="97"/>
  <c r="Y19" i="97"/>
  <c r="X20" i="97"/>
  <c r="Y20" i="97"/>
  <c r="X21" i="97"/>
  <c r="Y21" i="97"/>
  <c r="Y22" i="97"/>
  <c r="X22" i="97"/>
  <c r="X23" i="97"/>
  <c r="Y23" i="97"/>
  <c r="X24" i="97"/>
  <c r="Y24" i="97"/>
  <c r="X25" i="97"/>
  <c r="Y25" i="97"/>
  <c r="Y26" i="97"/>
  <c r="X26" i="97"/>
  <c r="X27" i="97"/>
  <c r="Y27" i="97"/>
  <c r="X28" i="97"/>
  <c r="Y28" i="97"/>
  <c r="X29" i="97"/>
  <c r="Y29" i="97"/>
  <c r="Y30" i="97"/>
  <c r="X30" i="97"/>
  <c r="X31" i="97"/>
  <c r="Y31" i="97"/>
  <c r="Y32" i="97"/>
  <c r="X32" i="97"/>
  <c r="X33" i="97"/>
  <c r="Y33" i="97"/>
  <c r="X34" i="97"/>
  <c r="Y34" i="97"/>
  <c r="X35" i="97"/>
  <c r="Y35" i="97"/>
  <c r="Y36" i="97"/>
  <c r="X36" i="97"/>
  <c r="X37" i="97"/>
  <c r="Y37" i="97"/>
  <c r="Y38" i="97"/>
  <c r="X38" i="97"/>
  <c r="X39" i="97"/>
  <c r="Y39" i="97"/>
  <c r="X40" i="97"/>
  <c r="Y40" i="97"/>
  <c r="X41" i="97"/>
  <c r="Y41" i="97"/>
  <c r="Y42" i="97"/>
  <c r="X42" i="97"/>
  <c r="Y43" i="97"/>
  <c r="X43" i="97"/>
  <c r="Y44" i="97"/>
  <c r="X44" i="97"/>
  <c r="X45" i="97"/>
  <c r="Y45" i="97"/>
  <c r="X46" i="97"/>
  <c r="Y46" i="97"/>
  <c r="X47" i="97"/>
  <c r="Y47" i="97"/>
  <c r="Y48" i="97"/>
  <c r="X48" i="97"/>
  <c r="X49" i="97"/>
  <c r="Y49" i="97"/>
  <c r="Y50" i="97"/>
  <c r="X50" i="97"/>
  <c r="X51" i="97"/>
  <c r="Y51" i="97"/>
  <c r="X52" i="97"/>
  <c r="Y52" i="97"/>
  <c r="X53" i="97"/>
  <c r="Y53" i="97"/>
  <c r="Y54" i="97"/>
  <c r="X54" i="97"/>
  <c r="X55" i="97"/>
  <c r="Y55" i="97"/>
  <c r="Y56" i="97"/>
  <c r="X56" i="97"/>
  <c r="X57" i="97"/>
  <c r="Y57" i="97"/>
  <c r="X58" i="97"/>
  <c r="Y58" i="97"/>
  <c r="X59" i="97"/>
  <c r="Y59" i="97"/>
  <c r="Y60" i="97"/>
  <c r="X60" i="97"/>
  <c r="F24" i="96"/>
  <c r="D25" i="96"/>
  <c r="G24" i="96"/>
  <c r="E25" i="96"/>
  <c r="I23" i="96"/>
  <c r="N23" i="96" s="1"/>
  <c r="L24" i="95"/>
  <c r="J25" i="95"/>
  <c r="M24" i="95"/>
  <c r="K25" i="95"/>
  <c r="N24" i="95"/>
  <c r="L23" i="94"/>
  <c r="J24" i="94"/>
  <c r="M23" i="94"/>
  <c r="K24" i="94"/>
  <c r="N23" i="94"/>
  <c r="O24" i="96" l="1"/>
  <c r="N24" i="96"/>
  <c r="N24" i="94"/>
  <c r="O23" i="96"/>
  <c r="F25" i="96"/>
  <c r="D26" i="96"/>
  <c r="G25" i="96"/>
  <c r="E26" i="96"/>
  <c r="H25" i="96"/>
  <c r="K26" i="95"/>
  <c r="M25" i="95"/>
  <c r="L25" i="95"/>
  <c r="N26" i="95" s="1"/>
  <c r="J26" i="95"/>
  <c r="N25" i="95"/>
  <c r="J25" i="94"/>
  <c r="L24" i="94"/>
  <c r="M24" i="94"/>
  <c r="K25" i="94"/>
  <c r="I25" i="96" l="1"/>
  <c r="O25" i="96" s="1"/>
  <c r="D27" i="96"/>
  <c r="G26" i="96"/>
  <c r="E27" i="96"/>
  <c r="F26" i="96"/>
  <c r="H26" i="96"/>
  <c r="I26" i="96" s="1"/>
  <c r="M26" i="95"/>
  <c r="L26" i="95"/>
  <c r="J27" i="95"/>
  <c r="K27" i="95"/>
  <c r="M25" i="94"/>
  <c r="K26" i="94"/>
  <c r="L25" i="94"/>
  <c r="J26" i="94"/>
  <c r="N25" i="94"/>
  <c r="H27" i="96" l="1"/>
  <c r="I27" i="96" s="1"/>
  <c r="O27" i="96" s="1"/>
  <c r="N27" i="95"/>
  <c r="G27" i="96"/>
  <c r="E28" i="96"/>
  <c r="F27" i="96"/>
  <c r="H28" i="96" s="1"/>
  <c r="I28" i="96" s="1"/>
  <c r="D28" i="96"/>
  <c r="N25" i="96"/>
  <c r="N26" i="96"/>
  <c r="O26" i="96"/>
  <c r="L27" i="95"/>
  <c r="J28" i="95"/>
  <c r="M27" i="95"/>
  <c r="K28" i="95"/>
  <c r="L26" i="94"/>
  <c r="J27" i="94"/>
  <c r="M26" i="94"/>
  <c r="K27" i="94"/>
  <c r="N26" i="94"/>
  <c r="N27" i="94" l="1"/>
  <c r="N27" i="96"/>
  <c r="E29" i="96"/>
  <c r="F28" i="96"/>
  <c r="D29" i="96"/>
  <c r="G28" i="96"/>
  <c r="N28" i="96"/>
  <c r="O28" i="96"/>
  <c r="L28" i="95"/>
  <c r="J29" i="95"/>
  <c r="M28" i="95"/>
  <c r="K29" i="95"/>
  <c r="N28" i="95"/>
  <c r="L27" i="94"/>
  <c r="J28" i="94"/>
  <c r="M27" i="94"/>
  <c r="K28" i="94"/>
  <c r="F29" i="96" l="1"/>
  <c r="D30" i="96"/>
  <c r="G29" i="96"/>
  <c r="E30" i="96"/>
  <c r="H29" i="96"/>
  <c r="K30" i="95"/>
  <c r="L29" i="95"/>
  <c r="J30" i="95"/>
  <c r="M29" i="95"/>
  <c r="N29" i="95"/>
  <c r="L28" i="94"/>
  <c r="N29" i="94" s="1"/>
  <c r="J29" i="94"/>
  <c r="M28" i="94"/>
  <c r="K29" i="94"/>
  <c r="N28" i="94"/>
  <c r="I29" i="96" l="1"/>
  <c r="O29" i="96" s="1"/>
  <c r="F30" i="96"/>
  <c r="D31" i="96"/>
  <c r="G30" i="96"/>
  <c r="E31" i="96"/>
  <c r="H30" i="96"/>
  <c r="K31" i="95"/>
  <c r="L30" i="95"/>
  <c r="J31" i="95"/>
  <c r="M30" i="95"/>
  <c r="N30" i="95"/>
  <c r="M29" i="94"/>
  <c r="K30" i="94"/>
  <c r="L29" i="94"/>
  <c r="J30" i="94"/>
  <c r="I30" i="96" l="1"/>
  <c r="H31" i="96"/>
  <c r="N29" i="96"/>
  <c r="N30" i="96"/>
  <c r="O30" i="96"/>
  <c r="I31" i="96"/>
  <c r="N31" i="96" s="1"/>
  <c r="G31" i="96"/>
  <c r="E32" i="96"/>
  <c r="F31" i="96"/>
  <c r="D32" i="96"/>
  <c r="N31" i="95"/>
  <c r="L31" i="95"/>
  <c r="J32" i="95"/>
  <c r="M31" i="95"/>
  <c r="K32" i="95"/>
  <c r="L30" i="94"/>
  <c r="J31" i="94"/>
  <c r="M30" i="94"/>
  <c r="K31" i="94"/>
  <c r="N30" i="94"/>
  <c r="H32" i="96" l="1"/>
  <c r="O31" i="96"/>
  <c r="N31" i="94"/>
  <c r="F32" i="96"/>
  <c r="G32" i="96"/>
  <c r="L32" i="95"/>
  <c r="M32" i="95"/>
  <c r="N32" i="95"/>
  <c r="L31" i="94"/>
  <c r="N32" i="94" s="1"/>
  <c r="J32" i="94"/>
  <c r="M31" i="94"/>
  <c r="K32" i="94"/>
  <c r="I32" i="96" l="1"/>
  <c r="N32" i="96" s="1"/>
  <c r="H33" i="96"/>
  <c r="H36" i="96"/>
  <c r="H35" i="96"/>
  <c r="H37" i="96"/>
  <c r="H34" i="96"/>
  <c r="H38" i="96"/>
  <c r="N34" i="95"/>
  <c r="N38" i="95"/>
  <c r="N35" i="95"/>
  <c r="N36" i="95"/>
  <c r="N33" i="95"/>
  <c r="N37" i="95"/>
  <c r="R3" i="94"/>
  <c r="V3" i="95" s="1"/>
  <c r="R4" i="94"/>
  <c r="V4" i="95" s="1"/>
  <c r="L32" i="94"/>
  <c r="M32" i="94"/>
  <c r="O32" i="96" l="1"/>
  <c r="N33" i="94"/>
  <c r="N37" i="94"/>
  <c r="N35" i="94"/>
  <c r="N34" i="94"/>
  <c r="N38" i="94"/>
  <c r="N36" i="94"/>
  <c r="G4" i="78" l="1"/>
  <c r="G5" i="78"/>
  <c r="G6" i="78"/>
  <c r="G7" i="78"/>
  <c r="E7" i="78" s="1"/>
  <c r="M5" i="76"/>
  <c r="N6" i="76" s="1"/>
  <c r="O6" i="76" s="1"/>
  <c r="M6" i="76"/>
  <c r="M7" i="76"/>
  <c r="M8" i="76"/>
  <c r="M9" i="76"/>
  <c r="M10" i="76"/>
  <c r="M11" i="76"/>
  <c r="N11" i="76" s="1"/>
  <c r="O11" i="76" s="1"/>
  <c r="X9" i="76" s="1"/>
  <c r="X18" i="76" s="1"/>
  <c r="M12" i="76"/>
  <c r="M13" i="76"/>
  <c r="M14" i="76"/>
  <c r="M15" i="76"/>
  <c r="N16" i="76" s="1"/>
  <c r="O16" i="76" s="1"/>
  <c r="Z6" i="76" s="1"/>
  <c r="Z15" i="76" s="1"/>
  <c r="M16" i="76"/>
  <c r="M17" i="76"/>
  <c r="N17" i="76" s="1"/>
  <c r="O17" i="76" s="1"/>
  <c r="Z7" i="76" s="1"/>
  <c r="Z16" i="76" s="1"/>
  <c r="M18" i="76"/>
  <c r="M19" i="76"/>
  <c r="N19" i="76" s="1"/>
  <c r="O19" i="76" s="1"/>
  <c r="Z9" i="76" s="1"/>
  <c r="Z18" i="76" s="1"/>
  <c r="G4" i="75"/>
  <c r="G5" i="75"/>
  <c r="G6" i="75"/>
  <c r="G7" i="75"/>
  <c r="E7" i="75" s="1"/>
  <c r="H8" i="75" s="1"/>
  <c r="N10" i="76" l="1"/>
  <c r="O10" i="76" s="1"/>
  <c r="X8" i="76" s="1"/>
  <c r="X17" i="76" s="1"/>
  <c r="W8" i="76"/>
  <c r="W17" i="76" s="1"/>
  <c r="N12" i="76"/>
  <c r="O12" i="76" s="1"/>
  <c r="Y6" i="76" s="1"/>
  <c r="Y15" i="76" s="1"/>
  <c r="N15" i="76"/>
  <c r="O15" i="76" s="1"/>
  <c r="Y9" i="76" s="1"/>
  <c r="Y18" i="76" s="1"/>
  <c r="N9" i="76"/>
  <c r="O9" i="76" s="1"/>
  <c r="X7" i="76" s="1"/>
  <c r="X16" i="76" s="1"/>
  <c r="N13" i="76"/>
  <c r="O13" i="76" s="1"/>
  <c r="Y7" i="76" s="1"/>
  <c r="Y16" i="76" s="1"/>
  <c r="AA16" i="76" s="1"/>
  <c r="N7" i="76"/>
  <c r="O7" i="76" s="1"/>
  <c r="W9" i="76" s="1"/>
  <c r="W18" i="76" s="1"/>
  <c r="E8" i="75"/>
  <c r="F8" i="75" s="1"/>
  <c r="H9" i="75" s="1"/>
  <c r="N18" i="76"/>
  <c r="O18" i="76" s="1"/>
  <c r="Z8" i="76" s="1"/>
  <c r="Z17" i="76" s="1"/>
  <c r="AA18" i="76"/>
  <c r="N8" i="76"/>
  <c r="O8" i="76" s="1"/>
  <c r="X6" i="76" s="1"/>
  <c r="X15" i="76" s="1"/>
  <c r="AA15" i="76" s="1"/>
  <c r="H8" i="78"/>
  <c r="E8" i="78"/>
  <c r="N14" i="76"/>
  <c r="O14" i="76" s="1"/>
  <c r="Y8" i="76" s="1"/>
  <c r="Y17" i="76" s="1"/>
  <c r="AA17" i="76" s="1"/>
  <c r="I8" i="75"/>
  <c r="G8" i="75" l="1"/>
  <c r="I8" i="78"/>
  <c r="F8" i="78"/>
  <c r="E9" i="78" s="1"/>
  <c r="G8" i="78"/>
  <c r="AA19" i="76"/>
  <c r="AA20" i="76" s="1"/>
  <c r="W25" i="76" s="1"/>
  <c r="I9" i="75"/>
  <c r="E9" i="75"/>
  <c r="W26" i="76" l="1"/>
  <c r="P6" i="76" s="1"/>
  <c r="Q6" i="76" s="1"/>
  <c r="H9" i="78"/>
  <c r="F9" i="78"/>
  <c r="H10" i="78" s="1"/>
  <c r="I10" i="78" s="1"/>
  <c r="G9" i="78"/>
  <c r="P17" i="76"/>
  <c r="Q17" i="76" s="1"/>
  <c r="P9" i="76"/>
  <c r="Q9" i="76" s="1"/>
  <c r="P13" i="76"/>
  <c r="Q13" i="76" s="1"/>
  <c r="P5" i="76"/>
  <c r="Q5" i="76" s="1"/>
  <c r="W24" i="76"/>
  <c r="W27" i="76"/>
  <c r="F9" i="75"/>
  <c r="E10" i="75" s="1"/>
  <c r="G9" i="75"/>
  <c r="P10" i="76" l="1"/>
  <c r="Q10" i="76" s="1"/>
  <c r="P18" i="76"/>
  <c r="Q18" i="76" s="1"/>
  <c r="P14" i="76"/>
  <c r="Q14" i="76" s="1"/>
  <c r="H10" i="75"/>
  <c r="I10" i="75" s="1"/>
  <c r="E10" i="78"/>
  <c r="I9" i="78"/>
  <c r="P4" i="76"/>
  <c r="Q4" i="76" s="1"/>
  <c r="P8" i="76"/>
  <c r="Q8" i="76" s="1"/>
  <c r="P12" i="76"/>
  <c r="Q12" i="76" s="1"/>
  <c r="P16" i="76"/>
  <c r="Q16" i="76" s="1"/>
  <c r="P7" i="76"/>
  <c r="Q7" i="76" s="1"/>
  <c r="P19" i="76"/>
  <c r="Q19" i="76" s="1"/>
  <c r="P15" i="76"/>
  <c r="Q15" i="76" s="1"/>
  <c r="P11" i="76"/>
  <c r="Q11" i="76" s="1"/>
  <c r="F10" i="75"/>
  <c r="H11" i="75" s="1"/>
  <c r="G10" i="75"/>
  <c r="F10" i="78" l="1"/>
  <c r="E11" i="78" s="1"/>
  <c r="G10" i="78"/>
  <c r="P2" i="76"/>
  <c r="R2" i="76"/>
  <c r="R4" i="76" s="1"/>
  <c r="S4" i="76" s="1"/>
  <c r="I11" i="75"/>
  <c r="E11" i="75"/>
  <c r="G11" i="78" l="1"/>
  <c r="F11" i="78"/>
  <c r="E12" i="78" s="1"/>
  <c r="H11" i="78"/>
  <c r="R6" i="76"/>
  <c r="S6" i="76" s="1"/>
  <c r="R12" i="76"/>
  <c r="S12" i="76" s="1"/>
  <c r="R16" i="76"/>
  <c r="S16" i="76" s="1"/>
  <c r="R5" i="76"/>
  <c r="S5" i="76" s="1"/>
  <c r="R11" i="76"/>
  <c r="S11" i="76" s="1"/>
  <c r="R7" i="76"/>
  <c r="S7" i="76" s="1"/>
  <c r="R10" i="76"/>
  <c r="S10" i="76" s="1"/>
  <c r="R17" i="76"/>
  <c r="S17" i="76" s="1"/>
  <c r="R19" i="76"/>
  <c r="S19" i="76" s="1"/>
  <c r="R22" i="76"/>
  <c r="S22" i="76" s="1"/>
  <c r="R8" i="76"/>
  <c r="S8" i="76" s="1"/>
  <c r="R15" i="76"/>
  <c r="S15" i="76" s="1"/>
  <c r="R23" i="76"/>
  <c r="S23" i="76" s="1"/>
  <c r="R9" i="76"/>
  <c r="S9" i="76" s="1"/>
  <c r="R13" i="76"/>
  <c r="S13" i="76" s="1"/>
  <c r="R21" i="76"/>
  <c r="S21" i="76" s="1"/>
  <c r="R14" i="76"/>
  <c r="S14" i="76" s="1"/>
  <c r="R20" i="76"/>
  <c r="S20" i="76" s="1"/>
  <c r="R18" i="76"/>
  <c r="S18" i="76" s="1"/>
  <c r="G11" i="75"/>
  <c r="F11" i="75"/>
  <c r="E12" i="75" s="1"/>
  <c r="H12" i="78" l="1"/>
  <c r="I12" i="78" s="1"/>
  <c r="H12" i="75"/>
  <c r="F12" i="78"/>
  <c r="H13" i="78" s="1"/>
  <c r="G12" i="78"/>
  <c r="I11" i="78"/>
  <c r="F12" i="75"/>
  <c r="E13" i="75" s="1"/>
  <c r="G12" i="75"/>
  <c r="I12" i="75"/>
  <c r="H13" i="75" l="1"/>
  <c r="I13" i="75" s="1"/>
  <c r="I13" i="78"/>
  <c r="E13" i="78"/>
  <c r="F13" i="75"/>
  <c r="H14" i="75" s="1"/>
  <c r="I14" i="75" s="1"/>
  <c r="G13" i="75"/>
  <c r="F8" i="81" l="1"/>
  <c r="F13" i="78"/>
  <c r="H14" i="78" s="1"/>
  <c r="G13" i="78"/>
  <c r="E14" i="75"/>
  <c r="F9" i="81" l="1"/>
  <c r="I14" i="78"/>
  <c r="E14" i="78"/>
  <c r="F14" i="75"/>
  <c r="H15" i="75" s="1"/>
  <c r="I15" i="75" s="1"/>
  <c r="G14" i="75"/>
  <c r="F10" i="81" l="1"/>
  <c r="F14" i="78"/>
  <c r="H15" i="78" s="1"/>
  <c r="I15" i="78" s="1"/>
  <c r="G14" i="78"/>
  <c r="E15" i="78"/>
  <c r="E15" i="75"/>
  <c r="F11" i="81" l="1"/>
  <c r="F15" i="78"/>
  <c r="H16" i="78" s="1"/>
  <c r="I16" i="78" s="1"/>
  <c r="G15" i="78"/>
  <c r="F15" i="75"/>
  <c r="H16" i="75" s="1"/>
  <c r="I16" i="75" s="1"/>
  <c r="G15" i="75"/>
  <c r="E16" i="78" l="1"/>
  <c r="F12" i="81"/>
  <c r="E16" i="75"/>
  <c r="G16" i="75" s="1"/>
  <c r="F16" i="78"/>
  <c r="H17" i="78" s="1"/>
  <c r="I17" i="78" s="1"/>
  <c r="G16" i="78"/>
  <c r="F16" i="75" l="1"/>
  <c r="H17" i="75" s="1"/>
  <c r="I17" i="75" s="1"/>
  <c r="F13" i="81"/>
  <c r="E17" i="78"/>
  <c r="F17" i="78" s="1"/>
  <c r="G17" i="78"/>
  <c r="E17" i="75"/>
  <c r="H18" i="78" l="1"/>
  <c r="I18" i="78" s="1"/>
  <c r="E18" i="78"/>
  <c r="F14" i="81"/>
  <c r="F18" i="78"/>
  <c r="H19" i="78" s="1"/>
  <c r="G18" i="78"/>
  <c r="E19" i="78"/>
  <c r="F17" i="75"/>
  <c r="E18" i="75" s="1"/>
  <c r="G17" i="75"/>
  <c r="F15" i="81" l="1"/>
  <c r="I19" i="78"/>
  <c r="J6" i="78"/>
  <c r="J7" i="78" s="1"/>
  <c r="G19" i="78"/>
  <c r="G23" i="78" s="1"/>
  <c r="H22" i="78"/>
  <c r="G20" i="78"/>
  <c r="G21" i="78"/>
  <c r="F19" i="78"/>
  <c r="H21" i="78" s="1"/>
  <c r="G22" i="78"/>
  <c r="F18" i="75"/>
  <c r="H19" i="75" s="1"/>
  <c r="G18" i="75"/>
  <c r="H18" i="75"/>
  <c r="I18" i="75" s="1"/>
  <c r="H23" i="78" l="1"/>
  <c r="F16" i="81"/>
  <c r="E19" i="75"/>
  <c r="F19" i="75" s="1"/>
  <c r="H20" i="75" s="1"/>
  <c r="H20" i="78"/>
  <c r="I19" i="75"/>
  <c r="J7" i="75"/>
  <c r="G21" i="75"/>
  <c r="G19" i="75"/>
  <c r="G22" i="75" l="1"/>
  <c r="H22" i="75"/>
  <c r="G20" i="75"/>
  <c r="F17" i="81"/>
  <c r="H23" i="75"/>
  <c r="G23" i="75"/>
  <c r="H21" i="75"/>
  <c r="F18" i="81" l="1"/>
  <c r="F19" i="81" l="1"/>
  <c r="K20" i="81" l="1"/>
  <c r="J21" i="81"/>
  <c r="K21" i="81"/>
  <c r="J22" i="81" l="1"/>
  <c r="K22" i="81"/>
  <c r="K23" i="81" l="1"/>
  <c r="J23" i="81"/>
</calcChain>
</file>

<file path=xl/sharedStrings.xml><?xml version="1.0" encoding="utf-8"?>
<sst xmlns="http://schemas.openxmlformats.org/spreadsheetml/2006/main" count="335" uniqueCount="178">
  <si>
    <t>Period</t>
  </si>
  <si>
    <t>Year</t>
  </si>
  <si>
    <t>Series</t>
  </si>
  <si>
    <t>Average</t>
  </si>
  <si>
    <t>=alpha</t>
  </si>
  <si>
    <t>=degrees of freedom</t>
  </si>
  <si>
    <t>=Level of significance (alpha)</t>
  </si>
  <si>
    <t>=t-value</t>
  </si>
  <si>
    <t>SMA</t>
  </si>
  <si>
    <t>DMA</t>
  </si>
  <si>
    <t>DMA Forec.</t>
  </si>
  <si>
    <t>SES</t>
  </si>
  <si>
    <t>DES</t>
  </si>
  <si>
    <t>DES Forec.</t>
  </si>
  <si>
    <r>
      <t>a</t>
    </r>
    <r>
      <rPr>
        <b/>
        <vertAlign val="subscript"/>
        <sz val="11"/>
        <rFont val="Calibri"/>
        <family val="2"/>
        <scheme val="minor"/>
      </rPr>
      <t>t</t>
    </r>
  </si>
  <si>
    <r>
      <t>b</t>
    </r>
    <r>
      <rPr>
        <b/>
        <vertAlign val="subscript"/>
        <sz val="11"/>
        <rFont val="Calibri"/>
        <family val="2"/>
        <scheme val="minor"/>
      </rPr>
      <t>t</t>
    </r>
  </si>
  <si>
    <t>5MA</t>
  </si>
  <si>
    <t>=RMSE</t>
  </si>
  <si>
    <t>=MSE</t>
  </si>
  <si>
    <t>=gamma</t>
  </si>
  <si>
    <t>=beta</t>
  </si>
  <si>
    <r>
      <t>e</t>
    </r>
    <r>
      <rPr>
        <vertAlign val="subscript"/>
        <sz val="11"/>
        <rFont val="Calibri"/>
        <family val="2"/>
        <scheme val="minor"/>
      </rPr>
      <t>t</t>
    </r>
  </si>
  <si>
    <r>
      <t>F</t>
    </r>
    <r>
      <rPr>
        <vertAlign val="subscript"/>
        <sz val="11"/>
        <rFont val="Calibri"/>
        <family val="2"/>
        <scheme val="minor"/>
      </rPr>
      <t>t</t>
    </r>
  </si>
  <si>
    <r>
      <t>S</t>
    </r>
    <r>
      <rPr>
        <vertAlign val="subscript"/>
        <sz val="11"/>
        <rFont val="Calibri"/>
        <family val="2"/>
        <scheme val="minor"/>
      </rPr>
      <t>s</t>
    </r>
  </si>
  <si>
    <r>
      <t>b</t>
    </r>
    <r>
      <rPr>
        <vertAlign val="subscript"/>
        <sz val="11"/>
        <rFont val="Calibri"/>
        <family val="2"/>
        <scheme val="minor"/>
      </rPr>
      <t>t</t>
    </r>
  </si>
  <si>
    <r>
      <rPr>
        <sz val="11"/>
        <rFont val="Century Gothic"/>
        <family val="2"/>
      </rPr>
      <t>ℓ</t>
    </r>
    <r>
      <rPr>
        <vertAlign val="subscript"/>
        <sz val="11"/>
        <rFont val="Century Gothic"/>
        <family val="2"/>
      </rPr>
      <t>t</t>
    </r>
  </si>
  <si>
    <t>Y</t>
  </si>
  <si>
    <t>t</t>
  </si>
  <si>
    <t>Quarter</t>
  </si>
  <si>
    <t>PI-</t>
  </si>
  <si>
    <t>PI+</t>
  </si>
  <si>
    <t>If you increase the number of elements in the interval for moving averages, the calculated value eliminates</t>
  </si>
  <si>
    <t>more extremes. The more elements in the interval, the smotther the overall time series of moving averages will be.</t>
  </si>
  <si>
    <t>Yes, double moving averages can be used for long-term forecasts, but only providing that the original time</t>
  </si>
  <si>
    <t>series is linear. Double moving average forecasts will be linear, so the original time series needs to be of the</t>
  </si>
  <si>
    <t>Single exponential smoothing is like simple moving averages, i.e. it just makes the newly created time series</t>
  </si>
  <si>
    <t>in the place beyond the last period for which the exponential values are calculated, then it becomes a forecast.</t>
  </si>
  <si>
    <t>The closer to one, the more dynamic the time series will be and more closely will it resemble the original time series.</t>
  </si>
  <si>
    <t>Damping factor in Excel is =1-alpha.</t>
  </si>
  <si>
    <t xml:space="preserve">Smoothing constant and moving averages can be claculated from one another. A general rule is that the smaller </t>
  </si>
  <si>
    <t>smoothing constant (closer to zero) correspond to larger number of observations in the moving average interval.</t>
  </si>
  <si>
    <t>Yes, double exponential smoothing forecasts are linear.</t>
  </si>
  <si>
    <t>You can use it in Excel Sover as an objective function that needs to be minimised.</t>
  </si>
  <si>
    <t xml:space="preserve">SEE for exponential smoothing is not calculated over the whole range of the time series, but for smaller </t>
  </si>
  <si>
    <t>intervals that correspond to either a number of moving averages or just 3 running values.</t>
  </si>
  <si>
    <t>Confidence interval for both double moving averages and double exponential smooting is constructed in the same way.</t>
  </si>
  <si>
    <r>
      <t xml:space="preserve">ŷ </t>
    </r>
    <r>
      <rPr>
        <sz val="11"/>
        <rFont val="Symbol"/>
        <family val="1"/>
        <charset val="2"/>
      </rPr>
      <t>±</t>
    </r>
    <r>
      <rPr>
        <sz val="11"/>
        <rFont val="Calibri"/>
        <family val="2"/>
      </rPr>
      <t xml:space="preserve"> t</t>
    </r>
    <r>
      <rPr>
        <vertAlign val="subscript"/>
        <sz val="11"/>
        <rFont val="Calibri"/>
        <family val="2"/>
      </rPr>
      <t>value</t>
    </r>
    <r>
      <rPr>
        <sz val="11"/>
        <rFont val="Calibri"/>
        <family val="2"/>
      </rPr>
      <t xml:space="preserve"> </t>
    </r>
    <r>
      <rPr>
        <sz val="11"/>
        <rFont val="Symbol"/>
        <family val="1"/>
        <charset val="2"/>
      </rPr>
      <t>´</t>
    </r>
    <r>
      <rPr>
        <sz val="11"/>
        <rFont val="Calibri"/>
        <family val="2"/>
      </rPr>
      <t xml:space="preserve"> SE</t>
    </r>
    <r>
      <rPr>
        <vertAlign val="subscript"/>
        <sz val="11"/>
        <rFont val="Calibri"/>
        <family val="2"/>
      </rPr>
      <t>yŷ</t>
    </r>
  </si>
  <si>
    <r>
      <t xml:space="preserve">ŷ </t>
    </r>
    <r>
      <rPr>
        <sz val="11"/>
        <rFont val="Symbol"/>
        <family val="1"/>
        <charset val="2"/>
      </rPr>
      <t>±</t>
    </r>
    <r>
      <rPr>
        <sz val="11"/>
        <rFont val="Calibri"/>
        <family val="2"/>
      </rPr>
      <t xml:space="preserve"> t</t>
    </r>
    <r>
      <rPr>
        <vertAlign val="subscript"/>
        <sz val="11"/>
        <rFont val="Calibri"/>
        <family val="2"/>
      </rPr>
      <t>value</t>
    </r>
    <r>
      <rPr>
        <sz val="11"/>
        <rFont val="Calibri"/>
        <family val="2"/>
      </rPr>
      <t xml:space="preserve"> </t>
    </r>
    <r>
      <rPr>
        <sz val="11"/>
        <rFont val="Symbol"/>
        <family val="1"/>
        <charset val="2"/>
      </rPr>
      <t>´</t>
    </r>
    <r>
      <rPr>
        <sz val="11"/>
        <rFont val="Calibri"/>
        <family val="2"/>
      </rPr>
      <t xml:space="preserve"> h </t>
    </r>
    <r>
      <rPr>
        <sz val="11"/>
        <rFont val="Symbol"/>
        <family val="1"/>
        <charset val="2"/>
      </rPr>
      <t>´</t>
    </r>
    <r>
      <rPr>
        <sz val="11"/>
        <rFont val="Calibri"/>
        <family val="2"/>
      </rPr>
      <t xml:space="preserve"> SE</t>
    </r>
    <r>
      <rPr>
        <vertAlign val="subscript"/>
        <sz val="11"/>
        <rFont val="Calibri"/>
        <family val="2"/>
      </rPr>
      <t>yŷ</t>
    </r>
  </si>
  <si>
    <t>, where h=1,2,3,…</t>
  </si>
  <si>
    <r>
      <t xml:space="preserve">ŷ </t>
    </r>
    <r>
      <rPr>
        <sz val="11"/>
        <rFont val="Symbol"/>
        <family val="1"/>
        <charset val="2"/>
      </rPr>
      <t>±</t>
    </r>
    <r>
      <rPr>
        <sz val="11"/>
        <rFont val="Calibri"/>
        <family val="2"/>
      </rPr>
      <t xml:space="preserve"> t</t>
    </r>
    <r>
      <rPr>
        <vertAlign val="subscript"/>
        <sz val="11"/>
        <rFont val="Calibri"/>
        <family val="2"/>
      </rPr>
      <t>value</t>
    </r>
    <r>
      <rPr>
        <sz val="11"/>
        <rFont val="Calibri"/>
        <family val="2"/>
      </rPr>
      <t xml:space="preserve"> </t>
    </r>
    <r>
      <rPr>
        <sz val="11"/>
        <rFont val="Symbol"/>
        <family val="1"/>
        <charset val="2"/>
      </rPr>
      <t>´</t>
    </r>
    <r>
      <rPr>
        <sz val="11"/>
        <rFont val="Calibri"/>
        <family val="2"/>
      </rPr>
      <t xml:space="preserve"> RMSE</t>
    </r>
    <r>
      <rPr>
        <vertAlign val="subscript"/>
        <sz val="11"/>
        <rFont val="Calibri"/>
        <family val="2"/>
      </rPr>
      <t>h</t>
    </r>
  </si>
  <si>
    <t>There is no difference between these two formulae for calculating SEE.</t>
  </si>
  <si>
    <t>1. We start with the dynamic value of the standard error of estimate (SEE) for three period interval:</t>
  </si>
  <si>
    <t>2. Then, we decide on the t-value and calculate:</t>
  </si>
  <si>
    <t>3. A the end of the time series, we calculate the overall SEE:</t>
  </si>
  <si>
    <t>4. The future forecasts are calculated as:</t>
  </si>
  <si>
    <t xml:space="preserve">3.a Another option for the future forecasts is to calculate: </t>
  </si>
  <si>
    <t>4a. And then apply:</t>
  </si>
  <si>
    <t>See steps 3 and 4 (or 3a and 4a) in X10.13</t>
  </si>
  <si>
    <t>Scaling fact=</t>
  </si>
  <si>
    <t>SUM=</t>
  </si>
  <si>
    <t>Ŷ</t>
  </si>
  <si>
    <t>y</t>
  </si>
  <si>
    <t>=intercept</t>
  </si>
  <si>
    <t>=slope</t>
  </si>
  <si>
    <t>Typical quarterly index</t>
  </si>
  <si>
    <t>per quarter</t>
  </si>
  <si>
    <t>Remove I component table for every year per quarter</t>
  </si>
  <si>
    <t>Q4</t>
  </si>
  <si>
    <t>Q3</t>
  </si>
  <si>
    <t>Q2</t>
  </si>
  <si>
    <t>Q1</t>
  </si>
  <si>
    <t>Summary SI component table for every year per quarter</t>
  </si>
  <si>
    <t>TC for deseasonalized</t>
  </si>
  <si>
    <t>Deseasonalised Y</t>
  </si>
  <si>
    <t>Typical S</t>
  </si>
  <si>
    <t>SI=TCSI/TC</t>
  </si>
  <si>
    <t>TC as MA (centred)</t>
  </si>
  <si>
    <t>TC as MA (uncentred)</t>
  </si>
  <si>
    <t>Y=TCSI</t>
  </si>
  <si>
    <t>Q</t>
  </si>
  <si>
    <r>
      <t>k</t>
    </r>
    <r>
      <rPr>
        <vertAlign val="subscript"/>
        <sz val="11"/>
        <rFont val="Calibri"/>
        <family val="2"/>
        <scheme val="minor"/>
      </rPr>
      <t>h</t>
    </r>
  </si>
  <si>
    <r>
      <t>RMSE</t>
    </r>
    <r>
      <rPr>
        <vertAlign val="subscript"/>
        <sz val="11"/>
        <rFont val="Calibri"/>
        <family val="2"/>
        <scheme val="minor"/>
      </rPr>
      <t>h</t>
    </r>
  </si>
  <si>
    <t>h</t>
  </si>
  <si>
    <t>9DMA</t>
  </si>
  <si>
    <t>7DMA</t>
  </si>
  <si>
    <t>5DMA</t>
  </si>
  <si>
    <t>3DMA</t>
  </si>
  <si>
    <t>9SMA</t>
  </si>
  <si>
    <t>7SMA</t>
  </si>
  <si>
    <t>5SMA</t>
  </si>
  <si>
    <t>3SMA</t>
  </si>
  <si>
    <t>DES 0.9</t>
  </si>
  <si>
    <t>DES 0.5</t>
  </si>
  <si>
    <t>DES 0.3</t>
  </si>
  <si>
    <t>DES 0.1</t>
  </si>
  <si>
    <t>SES 0.9</t>
  </si>
  <si>
    <t>SES 0.5</t>
  </si>
  <si>
    <t>SES 0.3</t>
  </si>
  <si>
    <t>SES 0.1</t>
  </si>
  <si>
    <t>Alpha</t>
  </si>
  <si>
    <t>Answer: DMA is better in this case</t>
  </si>
  <si>
    <t>MSE =</t>
  </si>
  <si>
    <t>ME =</t>
  </si>
  <si>
    <t>DES Errors</t>
  </si>
  <si>
    <t>DMA Errors</t>
  </si>
  <si>
    <t>Answer: DMA was better in this case</t>
  </si>
  <si>
    <t>Answer: DES is better after alpha optimization</t>
  </si>
  <si>
    <t>Before</t>
  </si>
  <si>
    <t>Optimized</t>
  </si>
  <si>
    <r>
      <t>SE</t>
    </r>
    <r>
      <rPr>
        <b/>
        <vertAlign val="subscript"/>
        <sz val="11"/>
        <rFont val="Calibri"/>
        <family val="2"/>
        <scheme val="minor"/>
      </rPr>
      <t>t</t>
    </r>
  </si>
  <si>
    <t>Birth Rate</t>
  </si>
  <si>
    <t>Linear</t>
  </si>
  <si>
    <t>Parabola</t>
  </si>
  <si>
    <t>Power</t>
  </si>
  <si>
    <t>Plynomial 3rd</t>
  </si>
  <si>
    <t>SES al=0.3</t>
  </si>
  <si>
    <t>SES SEE</t>
  </si>
  <si>
    <t>Parab Errors</t>
  </si>
  <si>
    <t>Power Errors</t>
  </si>
  <si>
    <t>Poly Errors</t>
  </si>
  <si>
    <t>5MA Errors</t>
  </si>
  <si>
    <t>SES Errors</t>
  </si>
  <si>
    <t>Linear Errors</t>
  </si>
  <si>
    <t xml:space="preserve">ME = </t>
  </si>
  <si>
    <t xml:space="preserve">MAD = </t>
  </si>
  <si>
    <t xml:space="preserve">MSE = </t>
  </si>
  <si>
    <t xml:space="preserve">RMS = </t>
  </si>
  <si>
    <t xml:space="preserve">MPE = </t>
  </si>
  <si>
    <t xml:space="preserve">MAPE = </t>
  </si>
  <si>
    <t xml:space="preserve">R-square = </t>
  </si>
  <si>
    <t>Parab.</t>
  </si>
  <si>
    <t>Plynom.</t>
  </si>
  <si>
    <t>SES is</t>
  </si>
  <si>
    <t xml:space="preserve"> the best!</t>
  </si>
  <si>
    <t>One of the requirements for a time series to be stationary is that it has to have a constant mean. This means that altghough the time series might vary around the mean,</t>
  </si>
  <si>
    <t>it will always return towards the mean. This makes it easy to extrapolate and it is statistically the best predictor of the stationary time series.</t>
  </si>
  <si>
    <t>Moving average as a general "smoothing" time series technique eliminates extreme values for the length of the interval</t>
  </si>
  <si>
    <t>that it has been calculated for. In this case, it is used to eliminate random oscilations. If this value is placed just one observation after</t>
  </si>
  <si>
    <t>the interval for which it has been calculated, then the moving average becomes a forecast for that time period.</t>
  </si>
  <si>
    <t>Double moving average method is a linear method. It does not, therefore, follow a curve but a straight line.</t>
  </si>
  <si>
    <t>same type. As the future forecasts will be determined by the length of the interval used for moving averages,</t>
  </si>
  <si>
    <t>this means that the recent observations will have more impact on future forecasts. Because of that, although DMA</t>
  </si>
  <si>
    <t>can be in principle used for long-term forecasts, it is recommended to be used only for medium-term forecasts.</t>
  </si>
  <si>
    <t>smoother than the original time series by eliminating larger variations. When this smoothed value is put</t>
  </si>
  <si>
    <t>Alpha varies between 0 and 1. The closer to zero, the smoother the newly created time series of exponential values will be.</t>
  </si>
  <si>
    <t>RMSE</t>
  </si>
  <si>
    <t>t-value</t>
  </si>
  <si>
    <t>=t value</t>
  </si>
  <si>
    <t>Forecasts from X10.19</t>
  </si>
  <si>
    <t>a)</t>
  </si>
  <si>
    <t>b)</t>
  </si>
  <si>
    <r>
      <t>=RMSE</t>
    </r>
    <r>
      <rPr>
        <vertAlign val="subscript"/>
        <sz val="11"/>
        <rFont val="Calibri"/>
        <family val="2"/>
        <scheme val="minor"/>
      </rPr>
      <t>h</t>
    </r>
  </si>
  <si>
    <t>X11.1</t>
  </si>
  <si>
    <t>X11.2</t>
  </si>
  <si>
    <t>X11.3</t>
  </si>
  <si>
    <t>X11.4</t>
  </si>
  <si>
    <t>X11.5</t>
  </si>
  <si>
    <t>X11.6</t>
  </si>
  <si>
    <t>X11.7</t>
  </si>
  <si>
    <t>X11.8</t>
  </si>
  <si>
    <t>X11.9</t>
  </si>
  <si>
    <t>X11.10</t>
  </si>
  <si>
    <t>X11.15</t>
  </si>
  <si>
    <t>X11.14</t>
  </si>
  <si>
    <t>X11.13</t>
  </si>
  <si>
    <t>X11.12</t>
  </si>
  <si>
    <t>X11.11</t>
  </si>
  <si>
    <t>X11.16</t>
  </si>
  <si>
    <t>X11.17</t>
  </si>
  <si>
    <t>X11.18</t>
  </si>
  <si>
    <t>X11.19</t>
  </si>
  <si>
    <t>X11.20</t>
  </si>
  <si>
    <t>TU11.1</t>
  </si>
  <si>
    <t>TU11.2</t>
  </si>
  <si>
    <t>TU11.3</t>
  </si>
  <si>
    <t>TU11.4</t>
  </si>
  <si>
    <t>TU11.5</t>
  </si>
  <si>
    <t>TU11.6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</si>
</sst>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0"/>
    <numFmt numFmtId="167" formatCode="0.0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sz val="11"/>
      <name val="Arial"/>
      <family val="2"/>
    </font>
    <font>
      <sz val="11"/>
      <name val="Century Gothic"/>
      <family val="2"/>
    </font>
    <font>
      <sz val="10"/>
      <name val="Verdana"/>
      <family val="2"/>
    </font>
    <font>
      <vertAlign val="subscript"/>
      <sz val="11"/>
      <name val="Calibri"/>
      <family val="2"/>
      <scheme val="minor"/>
    </font>
    <font>
      <vertAlign val="subscript"/>
      <sz val="11"/>
      <name val="Century Gothic"/>
      <family val="2"/>
    </font>
    <font>
      <sz val="11"/>
      <name val="Symbol"/>
      <family val="1"/>
      <charset val="2"/>
    </font>
    <font>
      <vertAlign val="subscript"/>
      <sz val="11"/>
      <name val="Calibri"/>
      <family val="2"/>
    </font>
    <font>
      <sz val="11"/>
      <color theme="0" tint="-0.249977111117893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2" fontId="3" fillId="0" borderId="0" xfId="0" applyNumberFormat="1" applyFont="1" applyBorder="1"/>
    <xf numFmtId="0" fontId="8" fillId="0" borderId="0" xfId="1" applyFont="1"/>
    <xf numFmtId="2" fontId="3" fillId="0" borderId="2" xfId="1" applyNumberFormat="1" applyFont="1" applyBorder="1"/>
    <xf numFmtId="0" fontId="3" fillId="0" borderId="0" xfId="1" applyFont="1"/>
    <xf numFmtId="0" fontId="3" fillId="0" borderId="0" xfId="1" applyFont="1" applyBorder="1"/>
    <xf numFmtId="2" fontId="3" fillId="0" borderId="0" xfId="1" applyNumberFormat="1" applyFont="1" applyBorder="1"/>
    <xf numFmtId="0" fontId="6" fillId="0" borderId="2" xfId="1" quotePrefix="1" applyFont="1" applyBorder="1"/>
    <xf numFmtId="2" fontId="6" fillId="0" borderId="2" xfId="1" applyNumberFormat="1" applyFont="1" applyBorder="1"/>
    <xf numFmtId="164" fontId="6" fillId="0" borderId="2" xfId="1" quotePrefix="1" applyNumberFormat="1" applyFont="1" applyBorder="1"/>
    <xf numFmtId="164" fontId="3" fillId="0" borderId="0" xfId="1" applyNumberFormat="1" applyFont="1"/>
    <xf numFmtId="0" fontId="6" fillId="0" borderId="0" xfId="1" applyFont="1"/>
    <xf numFmtId="0" fontId="6" fillId="0" borderId="2" xfId="1" applyNumberFormat="1" applyFont="1" applyBorder="1" applyAlignment="1">
      <alignment horizontal="right"/>
    </xf>
    <xf numFmtId="0" fontId="10" fillId="0" borderId="0" xfId="1" applyFont="1"/>
    <xf numFmtId="164" fontId="8" fillId="0" borderId="0" xfId="1" applyNumberFormat="1" applyFont="1"/>
    <xf numFmtId="0" fontId="8" fillId="0" borderId="0" xfId="1" applyFont="1" applyBorder="1"/>
    <xf numFmtId="164" fontId="3" fillId="0" borderId="2" xfId="1" applyNumberFormat="1" applyFont="1" applyBorder="1"/>
    <xf numFmtId="0" fontId="5" fillId="0" borderId="0" xfId="0" applyFont="1"/>
    <xf numFmtId="0" fontId="4" fillId="0" borderId="0" xfId="1" applyFont="1"/>
    <xf numFmtId="0" fontId="3" fillId="0" borderId="0" xfId="1" applyFont="1" applyAlignment="1">
      <alignment horizontal="center"/>
    </xf>
    <xf numFmtId="2" fontId="3" fillId="0" borderId="0" xfId="1" applyNumberFormat="1" applyFont="1"/>
    <xf numFmtId="164" fontId="3" fillId="0" borderId="0" xfId="1" applyNumberFormat="1" applyFont="1" applyBorder="1"/>
    <xf numFmtId="0" fontId="3" fillId="0" borderId="0" xfId="1" quotePrefix="1" applyFont="1"/>
    <xf numFmtId="166" fontId="3" fillId="0" borderId="0" xfId="1" quotePrefix="1" applyNumberFormat="1" applyFont="1" applyBorder="1"/>
    <xf numFmtId="165" fontId="3" fillId="0" borderId="0" xfId="1" applyNumberFormat="1" applyFont="1"/>
    <xf numFmtId="164" fontId="3" fillId="0" borderId="0" xfId="1" quotePrefix="1" applyNumberFormat="1" applyFont="1"/>
    <xf numFmtId="166" fontId="3" fillId="0" borderId="3" xfId="1" applyNumberFormat="1" applyFont="1" applyBorder="1"/>
    <xf numFmtId="0" fontId="3" fillId="0" borderId="4" xfId="1" applyFont="1" applyBorder="1"/>
    <xf numFmtId="164" fontId="3" fillId="0" borderId="5" xfId="1" applyNumberFormat="1" applyFont="1" applyBorder="1"/>
    <xf numFmtId="0" fontId="3" fillId="0" borderId="6" xfId="1" applyFont="1" applyBorder="1"/>
    <xf numFmtId="164" fontId="3" fillId="0" borderId="7" xfId="1" applyNumberFormat="1" applyFont="1" applyBorder="1"/>
    <xf numFmtId="164" fontId="1" fillId="0" borderId="1" xfId="1" applyNumberFormat="1" applyFont="1" applyBorder="1"/>
    <xf numFmtId="164" fontId="15" fillId="0" borderId="1" xfId="1" applyNumberFormat="1" applyFont="1" applyBorder="1"/>
    <xf numFmtId="0" fontId="3" fillId="0" borderId="7" xfId="1" applyFont="1" applyBorder="1"/>
    <xf numFmtId="164" fontId="3" fillId="0" borderId="8" xfId="1" applyNumberFormat="1" applyFont="1" applyBorder="1"/>
    <xf numFmtId="164" fontId="15" fillId="0" borderId="0" xfId="1" applyNumberFormat="1" applyFont="1" applyBorder="1"/>
    <xf numFmtId="164" fontId="1" fillId="0" borderId="0" xfId="1" applyNumberFormat="1" applyFont="1" applyBorder="1"/>
    <xf numFmtId="0" fontId="3" fillId="0" borderId="8" xfId="1" applyFont="1" applyBorder="1"/>
    <xf numFmtId="0" fontId="1" fillId="0" borderId="0" xfId="1" applyFont="1" applyBorder="1"/>
    <xf numFmtId="164" fontId="3" fillId="0" borderId="9" xfId="1" applyNumberFormat="1" applyFont="1" applyBorder="1"/>
    <xf numFmtId="164" fontId="1" fillId="0" borderId="10" xfId="1" applyNumberFormat="1" applyFont="1" applyBorder="1"/>
    <xf numFmtId="0" fontId="1" fillId="0" borderId="10" xfId="1" applyFont="1" applyBorder="1"/>
    <xf numFmtId="0" fontId="3" fillId="0" borderId="9" xfId="1" applyFont="1" applyBorder="1"/>
    <xf numFmtId="0" fontId="3" fillId="0" borderId="11" xfId="1" applyFont="1" applyBorder="1"/>
    <xf numFmtId="0" fontId="3" fillId="0" borderId="10" xfId="1" applyFont="1" applyBorder="1"/>
    <xf numFmtId="164" fontId="3" fillId="0" borderId="3" xfId="1" applyNumberFormat="1" applyFont="1" applyBorder="1"/>
    <xf numFmtId="164" fontId="3" fillId="0" borderId="1" xfId="1" applyNumberFormat="1" applyFont="1" applyBorder="1"/>
    <xf numFmtId="164" fontId="3" fillId="0" borderId="4" xfId="1" applyNumberFormat="1" applyFont="1" applyBorder="1"/>
    <xf numFmtId="164" fontId="3" fillId="0" borderId="12" xfId="1" applyNumberFormat="1" applyFont="1" applyBorder="1"/>
    <xf numFmtId="164" fontId="3" fillId="0" borderId="11" xfId="1" applyNumberFormat="1" applyFont="1" applyBorder="1"/>
    <xf numFmtId="164" fontId="3" fillId="0" borderId="10" xfId="1" applyNumberFormat="1" applyFont="1" applyBorder="1"/>
    <xf numFmtId="0" fontId="3" fillId="0" borderId="12" xfId="1" applyFont="1" applyBorder="1"/>
    <xf numFmtId="0" fontId="3" fillId="0" borderId="5" xfId="1" applyFont="1" applyBorder="1"/>
    <xf numFmtId="2" fontId="3" fillId="0" borderId="0" xfId="1" quotePrefix="1" applyNumberFormat="1" applyFont="1"/>
    <xf numFmtId="0" fontId="5" fillId="0" borderId="0" xfId="0" applyFont="1" applyBorder="1" applyAlignment="1">
      <alignment horizontal="center" vertical="center"/>
    </xf>
    <xf numFmtId="2" fontId="3" fillId="0" borderId="2" xfId="0" applyNumberFormat="1" applyFont="1" applyBorder="1"/>
    <xf numFmtId="2" fontId="3" fillId="0" borderId="2" xfId="0" quotePrefix="1" applyNumberFormat="1" applyFont="1" applyBorder="1"/>
    <xf numFmtId="0" fontId="6" fillId="0" borderId="2" xfId="0" quotePrefix="1" applyFont="1" applyFill="1" applyBorder="1" applyAlignment="1">
      <alignment horizontal="right"/>
    </xf>
    <xf numFmtId="165" fontId="3" fillId="0" borderId="0" xfId="0" applyNumberFormat="1" applyFont="1" applyBorder="1"/>
    <xf numFmtId="165" fontId="0" fillId="0" borderId="0" xfId="0" applyNumberFormat="1"/>
    <xf numFmtId="0" fontId="3" fillId="0" borderId="0" xfId="1" applyFont="1" applyFill="1" applyBorder="1"/>
    <xf numFmtId="0" fontId="3" fillId="0" borderId="0" xfId="1" applyFont="1" applyBorder="1" applyAlignment="1">
      <alignment horizontal="right"/>
    </xf>
    <xf numFmtId="2" fontId="3" fillId="0" borderId="2" xfId="1" quotePrefix="1" applyNumberFormat="1" applyFont="1" applyBorder="1"/>
    <xf numFmtId="0" fontId="3" fillId="10" borderId="2" xfId="1" applyFont="1" applyFill="1" applyBorder="1" applyAlignment="1">
      <alignment horizontal="right"/>
    </xf>
    <xf numFmtId="164" fontId="3" fillId="0" borderId="0" xfId="1" quotePrefix="1" applyNumberFormat="1" applyFont="1" applyAlignment="1">
      <alignment horizontal="left"/>
    </xf>
    <xf numFmtId="0" fontId="3" fillId="0" borderId="0" xfId="1" quotePrefix="1" applyFont="1" applyAlignment="1">
      <alignment horizontal="left"/>
    </xf>
    <xf numFmtId="164" fontId="3" fillId="0" borderId="0" xfId="1" quotePrefix="1" applyNumberFormat="1" applyFont="1" applyAlignment="1">
      <alignment horizontal="right"/>
    </xf>
    <xf numFmtId="0" fontId="6" fillId="0" borderId="0" xfId="1" applyFont="1" applyFill="1" applyBorder="1" applyAlignment="1">
      <alignment horizontal="center"/>
    </xf>
    <xf numFmtId="165" fontId="4" fillId="0" borderId="0" xfId="0" applyNumberFormat="1" applyFont="1" applyBorder="1"/>
    <xf numFmtId="165" fontId="17" fillId="0" borderId="0" xfId="0" applyNumberFormat="1" applyFont="1"/>
    <xf numFmtId="0" fontId="6" fillId="0" borderId="0" xfId="0" applyFont="1" applyBorder="1"/>
    <xf numFmtId="0" fontId="6" fillId="0" borderId="2" xfId="0" applyFont="1" applyBorder="1"/>
    <xf numFmtId="164" fontId="3" fillId="0" borderId="2" xfId="0" applyNumberFormat="1" applyFont="1" applyBorder="1"/>
    <xf numFmtId="2" fontId="3" fillId="2" borderId="2" xfId="0" quotePrefix="1" applyNumberFormat="1" applyFont="1" applyFill="1" applyBorder="1"/>
    <xf numFmtId="164" fontId="3" fillId="2" borderId="2" xfId="0" applyNumberFormat="1" applyFont="1" applyFill="1" applyBorder="1"/>
    <xf numFmtId="2" fontId="3" fillId="2" borderId="2" xfId="0" applyNumberFormat="1" applyFont="1" applyFill="1" applyBorder="1"/>
    <xf numFmtId="2" fontId="3" fillId="0" borderId="0" xfId="0" quotePrefix="1" applyNumberFormat="1" applyFont="1" applyFill="1" applyBorder="1"/>
    <xf numFmtId="0" fontId="3" fillId="4" borderId="0" xfId="0" applyFont="1" applyFill="1" applyBorder="1"/>
    <xf numFmtId="0" fontId="3" fillId="3" borderId="0" xfId="0" applyFont="1" applyFill="1" applyBorder="1"/>
    <xf numFmtId="0" fontId="3" fillId="9" borderId="0" xfId="0" applyFont="1" applyFill="1" applyBorder="1"/>
    <xf numFmtId="0" fontId="3" fillId="11" borderId="0" xfId="0" applyFont="1" applyFill="1" applyBorder="1"/>
    <xf numFmtId="0" fontId="3" fillId="12" borderId="0" xfId="0" applyFont="1" applyFill="1" applyBorder="1"/>
    <xf numFmtId="0" fontId="3" fillId="13" borderId="0" xfId="0" applyFont="1" applyFill="1" applyBorder="1"/>
    <xf numFmtId="0" fontId="3" fillId="14" borderId="0" xfId="0" applyFont="1" applyFill="1" applyBorder="1"/>
    <xf numFmtId="0" fontId="3" fillId="15" borderId="0" xfId="0" applyFont="1" applyFill="1" applyBorder="1"/>
    <xf numFmtId="0" fontId="6" fillId="0" borderId="0" xfId="1" applyFont="1" applyAlignment="1">
      <alignment horizontal="right"/>
    </xf>
    <xf numFmtId="165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right"/>
    </xf>
    <xf numFmtId="165" fontId="3" fillId="0" borderId="0" xfId="0" quotePrefix="1" applyNumberFormat="1" applyFont="1" applyFill="1" applyBorder="1"/>
    <xf numFmtId="0" fontId="3" fillId="9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165" fontId="3" fillId="0" borderId="2" xfId="1" applyNumberFormat="1" applyFont="1" applyBorder="1"/>
    <xf numFmtId="0" fontId="3" fillId="0" borderId="2" xfId="1" applyFont="1" applyBorder="1"/>
    <xf numFmtId="0" fontId="4" fillId="0" borderId="2" xfId="1" applyFont="1" applyBorder="1"/>
    <xf numFmtId="0" fontId="3" fillId="8" borderId="2" xfId="1" applyFont="1" applyFill="1" applyBorder="1"/>
    <xf numFmtId="0" fontId="3" fillId="6" borderId="2" xfId="1" applyFont="1" applyFill="1" applyBorder="1"/>
    <xf numFmtId="0" fontId="3" fillId="7" borderId="2" xfId="1" applyFont="1" applyFill="1" applyBorder="1"/>
    <xf numFmtId="0" fontId="3" fillId="5" borderId="2" xfId="1" applyFont="1" applyFill="1" applyBorder="1"/>
    <xf numFmtId="2" fontId="4" fillId="0" borderId="2" xfId="1" applyNumberFormat="1" applyFont="1" applyBorder="1"/>
    <xf numFmtId="0" fontId="3" fillId="2" borderId="2" xfId="1" applyFont="1" applyFill="1" applyBorder="1"/>
    <xf numFmtId="167" fontId="3" fillId="3" borderId="2" xfId="1" applyNumberFormat="1" applyFont="1" applyFill="1" applyBorder="1"/>
    <xf numFmtId="0" fontId="3" fillId="3" borderId="2" xfId="1" quotePrefix="1" applyFont="1" applyFill="1" applyBorder="1"/>
    <xf numFmtId="165" fontId="3" fillId="0" borderId="2" xfId="1" applyNumberFormat="1" applyFont="1" applyFill="1" applyBorder="1"/>
    <xf numFmtId="165" fontId="4" fillId="0" borderId="2" xfId="1" applyNumberFormat="1" applyFont="1" applyFill="1" applyBorder="1"/>
    <xf numFmtId="0" fontId="3" fillId="2" borderId="2" xfId="1" applyFont="1" applyFill="1" applyBorder="1" applyAlignment="1">
      <alignment horizontal="center"/>
    </xf>
    <xf numFmtId="166" fontId="3" fillId="0" borderId="2" xfId="1" applyNumberFormat="1" applyFont="1" applyBorder="1"/>
    <xf numFmtId="2" fontId="3" fillId="0" borderId="2" xfId="1" applyNumberFormat="1" applyFont="1" applyFill="1" applyBorder="1"/>
    <xf numFmtId="166" fontId="3" fillId="0" borderId="2" xfId="1" quotePrefix="1" applyNumberFormat="1" applyFont="1" applyBorder="1"/>
    <xf numFmtId="0" fontId="9" fillId="2" borderId="2" xfId="1" applyFont="1" applyFill="1" applyBorder="1" applyAlignment="1">
      <alignment horizontal="center"/>
    </xf>
    <xf numFmtId="0" fontId="8" fillId="0" borderId="2" xfId="1" applyFont="1" applyBorder="1"/>
    <xf numFmtId="1" fontId="3" fillId="0" borderId="2" xfId="1" quotePrefix="1" applyNumberFormat="1" applyFont="1" applyBorder="1"/>
    <xf numFmtId="1" fontId="3" fillId="0" borderId="2" xfId="1" applyNumberFormat="1" applyFont="1" applyBorder="1"/>
    <xf numFmtId="164" fontId="3" fillId="0" borderId="13" xfId="1" applyNumberFormat="1" applyFont="1" applyBorder="1"/>
    <xf numFmtId="0" fontId="3" fillId="0" borderId="2" xfId="1" quotePrefix="1" applyFont="1" applyBorder="1" applyAlignment="1">
      <alignment horizontal="center"/>
    </xf>
    <xf numFmtId="164" fontId="3" fillId="0" borderId="2" xfId="1" quotePrefix="1" applyNumberFormat="1" applyFont="1" applyBorder="1" applyAlignment="1">
      <alignment horizontal="center"/>
    </xf>
    <xf numFmtId="164" fontId="3" fillId="2" borderId="13" xfId="1" applyNumberFormat="1" applyFont="1" applyFill="1" applyBorder="1" applyAlignment="1">
      <alignment horizontal="center"/>
    </xf>
    <xf numFmtId="0" fontId="3" fillId="0" borderId="0" xfId="1" quotePrefix="1" applyFont="1" applyFill="1" applyBorder="1"/>
    <xf numFmtId="2" fontId="3" fillId="2" borderId="2" xfId="1" applyNumberFormat="1" applyFont="1" applyFill="1" applyBorder="1"/>
    <xf numFmtId="2" fontId="3" fillId="0" borderId="13" xfId="1" applyNumberFormat="1" applyFont="1" applyBorder="1"/>
    <xf numFmtId="167" fontId="6" fillId="0" borderId="2" xfId="1" applyNumberFormat="1" applyFont="1" applyBorder="1" applyAlignment="1">
      <alignment horizontal="right"/>
    </xf>
    <xf numFmtId="0" fontId="3" fillId="10" borderId="2" xfId="1" quotePrefix="1" applyFont="1" applyFill="1" applyBorder="1"/>
    <xf numFmtId="164" fontId="3" fillId="0" borderId="2" xfId="0" applyNumberFormat="1" applyFont="1" applyFill="1" applyBorder="1"/>
    <xf numFmtId="0" fontId="3" fillId="0" borderId="2" xfId="1" applyFont="1" applyFill="1" applyBorder="1" applyAlignment="1">
      <alignment horizontal="right"/>
    </xf>
    <xf numFmtId="0" fontId="3" fillId="0" borderId="2" xfId="1" applyFont="1" applyBorder="1" applyAlignment="1">
      <alignment horizontal="right"/>
    </xf>
    <xf numFmtId="0" fontId="6" fillId="2" borderId="2" xfId="1" applyFont="1" applyFill="1" applyBorder="1"/>
    <xf numFmtId="0" fontId="6" fillId="2" borderId="2" xfId="1" applyFont="1" applyFill="1" applyBorder="1" applyAlignment="1">
      <alignment horizontal="center"/>
    </xf>
    <xf numFmtId="2" fontId="3" fillId="0" borderId="2" xfId="1" applyNumberFormat="1" applyFont="1" applyBorder="1" applyAlignment="1">
      <alignment horizontal="right"/>
    </xf>
    <xf numFmtId="0" fontId="3" fillId="0" borderId="2" xfId="1" applyFont="1" applyFill="1" applyBorder="1"/>
    <xf numFmtId="0" fontId="3" fillId="4" borderId="2" xfId="1" applyFont="1" applyFill="1" applyBorder="1"/>
    <xf numFmtId="164" fontId="3" fillId="2" borderId="2" xfId="1" applyNumberFormat="1" applyFont="1" applyFill="1" applyBorder="1" applyAlignment="1">
      <alignment horizontal="center"/>
    </xf>
    <xf numFmtId="164" fontId="3" fillId="0" borderId="2" xfId="1" applyNumberFormat="1" applyFont="1" applyBorder="1" applyAlignment="1">
      <alignment horizontal="right"/>
    </xf>
    <xf numFmtId="164" fontId="3" fillId="0" borderId="2" xfId="1" quotePrefix="1" applyNumberFormat="1" applyFont="1" applyBorder="1"/>
    <xf numFmtId="0" fontId="3" fillId="4" borderId="2" xfId="1" quotePrefix="1" applyFont="1" applyFill="1" applyBorder="1"/>
    <xf numFmtId="0" fontId="3" fillId="4" borderId="2" xfId="1" quotePrefix="1" applyFont="1" applyFill="1" applyBorder="1" applyAlignment="1">
      <alignment horizontal="left"/>
    </xf>
    <xf numFmtId="0" fontId="3" fillId="4" borderId="7" xfId="1" quotePrefix="1" applyFont="1" applyFill="1" applyBorder="1" applyAlignment="1">
      <alignment horizontal="left"/>
    </xf>
    <xf numFmtId="0" fontId="6" fillId="0" borderId="0" xfId="0" applyFont="1"/>
  </cellXfs>
  <cellStyles count="5">
    <cellStyle name="Normal" xfId="0" builtinId="0"/>
    <cellStyle name="Normal 2" xfId="1" xr:uid="{00000000-0005-0000-0000-000001000000}"/>
    <cellStyle name="Normal 3" xfId="3" xr:uid="{00000000-0005-0000-0000-000002000000}"/>
    <cellStyle name="Percent 2" xfId="2" xr:uid="{00000000-0005-0000-0000-000003000000}"/>
    <cellStyle name="Percent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Decomposition 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'X11.16'!$L$3</c:f>
              <c:strCache>
                <c:ptCount val="1"/>
                <c:pt idx="0">
                  <c:v>Y=TCSI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'X11.16'!$L$4:$L$23</c:f>
              <c:numCache>
                <c:formatCode>0.0</c:formatCode>
                <c:ptCount val="20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C8-4B7B-8D7F-5CCA161EEE7D}"/>
            </c:ext>
          </c:extLst>
        </c:ser>
        <c:ser>
          <c:idx val="1"/>
          <c:order val="1"/>
          <c:tx>
            <c:strRef>
              <c:f>'X11.16'!$S$3</c:f>
              <c:strCache>
                <c:ptCount val="1"/>
                <c:pt idx="0">
                  <c:v>Ŷ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'X11.16'!$S$4:$S$23</c:f>
              <c:numCache>
                <c:formatCode>0.00</c:formatCode>
                <c:ptCount val="20"/>
                <c:pt idx="0">
                  <c:v>106.18087542517866</c:v>
                </c:pt>
                <c:pt idx="1">
                  <c:v>153.70862601450906</c:v>
                </c:pt>
                <c:pt idx="2">
                  <c:v>152.15590744976251</c:v>
                </c:pt>
                <c:pt idx="3">
                  <c:v>139.8617058133168</c:v>
                </c:pt>
                <c:pt idx="4">
                  <c:v>121.94375918734424</c:v>
                </c:pt>
                <c:pt idx="5">
                  <c:v>175.71058825507021</c:v>
                </c:pt>
                <c:pt idx="6">
                  <c:v>173.18314886918412</c:v>
                </c:pt>
                <c:pt idx="7">
                  <c:v>158.54447741198152</c:v>
                </c:pt>
                <c:pt idx="8">
                  <c:v>137.70664294950981</c:v>
                </c:pt>
                <c:pt idx="9">
                  <c:v>197.71255049563138</c:v>
                </c:pt>
                <c:pt idx="10">
                  <c:v>194.21039028860577</c:v>
                </c:pt>
                <c:pt idx="11">
                  <c:v>177.2272490106462</c:v>
                </c:pt>
                <c:pt idx="12">
                  <c:v>153.46952671167543</c:v>
                </c:pt>
                <c:pt idx="13">
                  <c:v>219.71451273619255</c:v>
                </c:pt>
                <c:pt idx="14">
                  <c:v>215.23763170802738</c:v>
                </c:pt>
                <c:pt idx="15">
                  <c:v>195.91002060931089</c:v>
                </c:pt>
                <c:pt idx="16">
                  <c:v>169.23241047384101</c:v>
                </c:pt>
                <c:pt idx="17">
                  <c:v>241.71647497675369</c:v>
                </c:pt>
                <c:pt idx="18">
                  <c:v>236.26487312744899</c:v>
                </c:pt>
                <c:pt idx="19">
                  <c:v>214.59279220797561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C8-4B7B-8D7F-5CCA161EE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504864"/>
        <c:axId val="826506176"/>
      </c:lineChart>
      <c:catAx>
        <c:axId val="826504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6176"/>
        <c:crosses val="autoZero"/>
        <c:auto val="1"/>
        <c:lblAlgn val="ctr"/>
        <c:lblOffset val="100"/>
        <c:noMultiLvlLbl val="0"/>
      </c:catAx>
      <c:valAx>
        <c:axId val="826506176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'TU11.2'!$C$3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'TU11.2'!$C$4:$C$34</c:f>
              <c:numCache>
                <c:formatCode>General</c:formatCode>
                <c:ptCount val="31"/>
                <c:pt idx="0">
                  <c:v>26.21</c:v>
                </c:pt>
                <c:pt idx="1">
                  <c:v>25.72</c:v>
                </c:pt>
                <c:pt idx="2">
                  <c:v>27.51</c:v>
                </c:pt>
                <c:pt idx="3">
                  <c:v>28.32</c:v>
                </c:pt>
                <c:pt idx="4">
                  <c:v>28.42</c:v>
                </c:pt>
                <c:pt idx="5">
                  <c:v>28.28</c:v>
                </c:pt>
                <c:pt idx="6">
                  <c:v>27.1</c:v>
                </c:pt>
                <c:pt idx="7">
                  <c:v>32.35</c:v>
                </c:pt>
                <c:pt idx="8">
                  <c:v>35.33</c:v>
                </c:pt>
                <c:pt idx="9">
                  <c:v>33.35</c:v>
                </c:pt>
                <c:pt idx="10">
                  <c:v>36.409999999999997</c:v>
                </c:pt>
                <c:pt idx="11">
                  <c:v>29.14</c:v>
                </c:pt>
                <c:pt idx="12">
                  <c:v>28.42</c:v>
                </c:pt>
                <c:pt idx="13">
                  <c:v>28.58</c:v>
                </c:pt>
                <c:pt idx="14">
                  <c:v>29.05</c:v>
                </c:pt>
                <c:pt idx="15">
                  <c:v>30.25</c:v>
                </c:pt>
                <c:pt idx="16">
                  <c:v>29.42</c:v>
                </c:pt>
                <c:pt idx="17">
                  <c:v>27.38</c:v>
                </c:pt>
                <c:pt idx="18">
                  <c:v>27.68</c:v>
                </c:pt>
                <c:pt idx="19">
                  <c:v>30.22</c:v>
                </c:pt>
                <c:pt idx="20">
                  <c:v>29.24</c:v>
                </c:pt>
                <c:pt idx="21">
                  <c:v>28.75</c:v>
                </c:pt>
                <c:pt idx="22">
                  <c:v>28.02</c:v>
                </c:pt>
                <c:pt idx="23">
                  <c:v>26.69</c:v>
                </c:pt>
                <c:pt idx="24">
                  <c:v>25.08</c:v>
                </c:pt>
                <c:pt idx="25">
                  <c:v>23.39</c:v>
                </c:pt>
                <c:pt idx="26">
                  <c:v>22.65</c:v>
                </c:pt>
                <c:pt idx="27">
                  <c:v>22.02</c:v>
                </c:pt>
                <c:pt idx="28">
                  <c:v>23.39</c:v>
                </c:pt>
                <c:pt idx="29">
                  <c:v>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0C-481D-AE42-E3A34BC77EFC}"/>
            </c:ext>
          </c:extLst>
        </c:ser>
        <c:ser>
          <c:idx val="1"/>
          <c:order val="1"/>
          <c:tx>
            <c:strRef>
              <c:f>'TU11.2'!$I$3</c:f>
              <c:strCache>
                <c:ptCount val="1"/>
                <c:pt idx="0">
                  <c:v>DES 0.1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'TU11.2'!$I$4:$I$34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26.21</c:v>
                </c:pt>
                <c:pt idx="3">
                  <c:v>26.205100000000002</c:v>
                </c:pt>
                <c:pt idx="4">
                  <c:v>26.214180000000002</c:v>
                </c:pt>
                <c:pt idx="5">
                  <c:v>26.242593000000003</c:v>
                </c:pt>
                <c:pt idx="6">
                  <c:v>26.287381600000003</c:v>
                </c:pt>
                <c:pt idx="7">
                  <c:v>26.343586550000005</c:v>
                </c:pt>
                <c:pt idx="8">
                  <c:v>26.396676694000003</c:v>
                </c:pt>
                <c:pt idx="9">
                  <c:v>26.499212943700002</c:v>
                </c:pt>
                <c:pt idx="10">
                  <c:v>26.670575176520003</c:v>
                </c:pt>
                <c:pt idx="11">
                  <c:v>26.876172833339002</c:v>
                </c:pt>
                <c:pt idx="12">
                  <c:v>27.138045207029002</c:v>
                </c:pt>
                <c:pt idx="13">
                  <c:v>27.370181377647611</c:v>
                </c:pt>
                <c:pt idx="14">
                  <c:v>27.568709862072211</c:v>
                </c:pt>
                <c:pt idx="15">
                  <c:v>27.739630835835413</c:v>
                </c:pt>
                <c:pt idx="16">
                  <c:v>27.891180516225255</c:v>
                </c:pt>
                <c:pt idx="17">
                  <c:v>28.037523952178773</c:v>
                </c:pt>
                <c:pt idx="18">
                  <c:v>28.169886895779335</c:v>
                </c:pt>
                <c:pt idx="19">
                  <c:v>28.269202011137995</c:v>
                </c:pt>
                <c:pt idx="20">
                  <c:v>28.343755234467132</c:v>
                </c:pt>
                <c:pt idx="21">
                  <c:v>28.422905793019062</c:v>
                </c:pt>
                <c:pt idx="22">
                  <c:v>28.495188687515935</c:v>
                </c:pt>
                <c:pt idx="23">
                  <c:v>28.556285945183241</c:v>
                </c:pt>
                <c:pt idx="24">
                  <c:v>28.600411864441927</c:v>
                </c:pt>
                <c:pt idx="25">
                  <c:v>28.617049740397043</c:v>
                </c:pt>
                <c:pt idx="26">
                  <c:v>28.595155922516717</c:v>
                </c:pt>
                <c:pt idx="27">
                  <c:v>28.525370370808485</c:v>
                </c:pt>
                <c:pt idx="28">
                  <c:v>28.410090370216732</c:v>
                </c:pt>
                <c:pt idx="29">
                  <c:v>28.252812666035247</c:v>
                </c:pt>
                <c:pt idx="30">
                  <c:v>28.07678959898789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0C-481D-AE42-E3A34BC77EFC}"/>
            </c:ext>
          </c:extLst>
        </c:ser>
        <c:ser>
          <c:idx val="2"/>
          <c:order val="2"/>
          <c:tx>
            <c:strRef>
              <c:f>'TU11.2'!$J$3</c:f>
              <c:strCache>
                <c:ptCount val="1"/>
                <c:pt idx="0">
                  <c:v>DES 0.3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'TU11.2'!$J$4:$J$34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26.21</c:v>
                </c:pt>
                <c:pt idx="3">
                  <c:v>26.165900000000001</c:v>
                </c:pt>
                <c:pt idx="4">
                  <c:v>26.265260000000001</c:v>
                </c:pt>
                <c:pt idx="5">
                  <c:v>26.498873000000003</c:v>
                </c:pt>
                <c:pt idx="6">
                  <c:v>26.786244800000002</c:v>
                </c:pt>
                <c:pt idx="7">
                  <c:v>27.061494950000004</c:v>
                </c:pt>
                <c:pt idx="8">
                  <c:v>27.199832978000003</c:v>
                </c:pt>
                <c:pt idx="9">
                  <c:v>27.731133643700005</c:v>
                </c:pt>
                <c:pt idx="10">
                  <c:v>28.675368941960002</c:v>
                </c:pt>
                <c:pt idx="11">
                  <c:v>29.558761033331002</c:v>
                </c:pt>
                <c:pt idx="12">
                  <c:v>30.608234665103002</c:v>
                </c:pt>
                <c:pt idx="13">
                  <c:v>30.990335624812012</c:v>
                </c:pt>
                <c:pt idx="14">
                  <c:v>30.946234888836347</c:v>
                </c:pt>
                <c:pt idx="15">
                  <c:v>30.711664388212998</c:v>
                </c:pt>
                <c:pt idx="16">
                  <c:v>30.447175047968386</c:v>
                </c:pt>
                <c:pt idx="17">
                  <c:v>30.299829516931375</c:v>
                </c:pt>
                <c:pt idx="18">
                  <c:v>30.148445550199416</c:v>
                </c:pt>
                <c:pt idx="19">
                  <c:v>29.825107306982808</c:v>
                </c:pt>
                <c:pt idx="20">
                  <c:v>29.473611910178217</c:v>
                </c:pt>
                <c:pt idx="21">
                  <c:v>29.368554093827928</c:v>
                </c:pt>
                <c:pt idx="22">
                  <c:v>29.305505895371773</c:v>
                </c:pt>
                <c:pt idx="23">
                  <c:v>29.224616747544797</c:v>
                </c:pt>
                <c:pt idx="24">
                  <c:v>29.076565557830548</c:v>
                </c:pt>
                <c:pt idx="25">
                  <c:v>28.789229574665818</c:v>
                </c:pt>
                <c:pt idx="26">
                  <c:v>28.314604281195173</c:v>
                </c:pt>
                <c:pt idx="27">
                  <c:v>27.638823502086993</c:v>
                </c:pt>
                <c:pt idx="28">
                  <c:v>26.858696805136155</c:v>
                </c:pt>
                <c:pt idx="29">
                  <c:v>26.040952011167992</c:v>
                </c:pt>
                <c:pt idx="30">
                  <c:v>25.401671381118472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0C-481D-AE42-E3A34BC77EFC}"/>
            </c:ext>
          </c:extLst>
        </c:ser>
        <c:ser>
          <c:idx val="3"/>
          <c:order val="3"/>
          <c:tx>
            <c:strRef>
              <c:f>'TU11.2'!$K$3</c:f>
              <c:strCache>
                <c:ptCount val="1"/>
                <c:pt idx="0">
                  <c:v>DES 0.5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'TU11.2'!$K$4:$K$34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26.21</c:v>
                </c:pt>
                <c:pt idx="3">
                  <c:v>26.087499999999999</c:v>
                </c:pt>
                <c:pt idx="4">
                  <c:v>26.412500000000001</c:v>
                </c:pt>
                <c:pt idx="5">
                  <c:v>26.970625000000002</c:v>
                </c:pt>
                <c:pt idx="6">
                  <c:v>27.472500000000004</c:v>
                </c:pt>
                <c:pt idx="7">
                  <c:v>27.799843750000001</c:v>
                </c:pt>
                <c:pt idx="8">
                  <c:v>27.70671875</c:v>
                </c:pt>
                <c:pt idx="9">
                  <c:v>28.8442578125</c:v>
                </c:pt>
                <c:pt idx="10">
                  <c:v>30.750078125000002</c:v>
                </c:pt>
                <c:pt idx="11">
                  <c:v>31.876513671875003</c:v>
                </c:pt>
                <c:pt idx="12">
                  <c:v>33.291494140625005</c:v>
                </c:pt>
                <c:pt idx="13">
                  <c:v>32.607365722656255</c:v>
                </c:pt>
                <c:pt idx="14">
                  <c:v>31.389492187500004</c:v>
                </c:pt>
                <c:pt idx="15">
                  <c:v>30.38265075683594</c:v>
                </c:pt>
                <c:pt idx="16">
                  <c:v>29.79777770996094</c:v>
                </c:pt>
                <c:pt idx="17">
                  <c:v>29.764615020751954</c:v>
                </c:pt>
                <c:pt idx="18">
                  <c:v>29.670170593261719</c:v>
                </c:pt>
                <c:pt idx="19">
                  <c:v>29.074016838073732</c:v>
                </c:pt>
                <c:pt idx="20">
                  <c:v>28.576474189758301</c:v>
                </c:pt>
                <c:pt idx="21">
                  <c:v>28.862969980239868</c:v>
                </c:pt>
                <c:pt idx="22">
                  <c:v>29.028851432800291</c:v>
                </c:pt>
                <c:pt idx="23">
                  <c:v>29.000608937740324</c:v>
                </c:pt>
                <c:pt idx="24">
                  <c:v>28.74839607954025</c:v>
                </c:pt>
                <c:pt idx="25">
                  <c:v>28.170743845105171</c:v>
                </c:pt>
                <c:pt idx="26">
                  <c:v>27.253644825220107</c:v>
                </c:pt>
                <c:pt idx="27">
                  <c:v>26.058458863943812</c:v>
                </c:pt>
                <c:pt idx="28">
                  <c:v>24.907547657638787</c:v>
                </c:pt>
                <c:pt idx="29">
                  <c:v>23.897932941652833</c:v>
                </c:pt>
                <c:pt idx="30">
                  <c:v>23.518546027243136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0C-481D-AE42-E3A34BC77EFC}"/>
            </c:ext>
          </c:extLst>
        </c:ser>
        <c:ser>
          <c:idx val="4"/>
          <c:order val="4"/>
          <c:tx>
            <c:strRef>
              <c:f>'TU11.2'!$L$3</c:f>
              <c:strCache>
                <c:ptCount val="1"/>
                <c:pt idx="0">
                  <c:v>DES 0.9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'TU11.2'!$L$4:$L$34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26.21</c:v>
                </c:pt>
                <c:pt idx="3">
                  <c:v>25.813099999999999</c:v>
                </c:pt>
                <c:pt idx="4">
                  <c:v>27.183620000000001</c:v>
                </c:pt>
                <c:pt idx="5">
                  <c:v>28.117792999999999</c:v>
                </c:pt>
                <c:pt idx="6">
                  <c:v>28.371922400000003</c:v>
                </c:pt>
                <c:pt idx="7">
                  <c:v>28.300006550000003</c:v>
                </c:pt>
                <c:pt idx="8">
                  <c:v>27.327282086</c:v>
                </c:pt>
                <c:pt idx="9">
                  <c:v>31.385956351700003</c:v>
                </c:pt>
                <c:pt idx="10">
                  <c:v>34.621218449479997</c:v>
                </c:pt>
                <c:pt idx="11">
                  <c:v>33.623884126378996</c:v>
                </c:pt>
                <c:pt idx="12">
                  <c:v>35.870664640780994</c:v>
                </c:pt>
                <c:pt idx="13">
                  <c:v>30.441294086892409</c:v>
                </c:pt>
                <c:pt idx="14">
                  <c:v>28.749752170970673</c:v>
                </c:pt>
                <c:pt idx="15">
                  <c:v>28.595337493325207</c:v>
                </c:pt>
                <c:pt idx="16">
                  <c:v>28.962069976955334</c:v>
                </c:pt>
                <c:pt idx="17">
                  <c:v>30.008960620457813</c:v>
                </c:pt>
                <c:pt idx="18">
                  <c:v>29.54237142432201</c:v>
                </c:pt>
                <c:pt idx="19">
                  <c:v>27.786184678659822</c:v>
                </c:pt>
                <c:pt idx="20">
                  <c:v>27.682613221488744</c:v>
                </c:pt>
                <c:pt idx="21">
                  <c:v>29.736860797511149</c:v>
                </c:pt>
                <c:pt idx="22">
                  <c:v>29.35494602728734</c:v>
                </c:pt>
                <c:pt idx="23">
                  <c:v>28.861120597482355</c:v>
                </c:pt>
                <c:pt idx="24">
                  <c:v>28.174874659223597</c:v>
                </c:pt>
                <c:pt idx="25">
                  <c:v>26.965263725869896</c:v>
                </c:pt>
                <c:pt idx="26">
                  <c:v>25.426103998581741</c:v>
                </c:pt>
                <c:pt idx="27">
                  <c:v>23.76146816245765</c:v>
                </c:pt>
                <c:pt idx="28">
                  <c:v>22.844532592505711</c:v>
                </c:pt>
                <c:pt idx="29">
                  <c:v>22.167491836876565</c:v>
                </c:pt>
                <c:pt idx="30">
                  <c:v>23.150953041450254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0C-481D-AE42-E3A34BC77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054360"/>
        <c:axId val="601054752"/>
      </c:lineChart>
      <c:catAx>
        <c:axId val="6010543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054752"/>
        <c:crosses val="autoZero"/>
        <c:auto val="1"/>
        <c:lblAlgn val="ctr"/>
        <c:lblOffset val="100"/>
        <c:noMultiLvlLbl val="0"/>
      </c:catAx>
      <c:valAx>
        <c:axId val="60105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054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DES Forecasts and Prediction interval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'TU11.5'!$C$2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'TU11.5'!$C$3:$C$32</c:f>
              <c:numCache>
                <c:formatCode>General</c:formatCode>
                <c:ptCount val="30"/>
                <c:pt idx="0">
                  <c:v>26.21</c:v>
                </c:pt>
                <c:pt idx="1">
                  <c:v>25.72</c:v>
                </c:pt>
                <c:pt idx="2">
                  <c:v>27.51</c:v>
                </c:pt>
                <c:pt idx="3">
                  <c:v>28.32</c:v>
                </c:pt>
                <c:pt idx="4">
                  <c:v>28.42</c:v>
                </c:pt>
                <c:pt idx="5">
                  <c:v>28.28</c:v>
                </c:pt>
                <c:pt idx="6">
                  <c:v>27.1</c:v>
                </c:pt>
                <c:pt idx="7">
                  <c:v>32.35</c:v>
                </c:pt>
                <c:pt idx="8">
                  <c:v>35.33</c:v>
                </c:pt>
                <c:pt idx="9">
                  <c:v>33.35</c:v>
                </c:pt>
                <c:pt idx="10">
                  <c:v>36.409999999999997</c:v>
                </c:pt>
                <c:pt idx="11">
                  <c:v>29.14</c:v>
                </c:pt>
                <c:pt idx="12">
                  <c:v>28.42</c:v>
                </c:pt>
                <c:pt idx="13">
                  <c:v>28.58</c:v>
                </c:pt>
                <c:pt idx="14">
                  <c:v>29.05</c:v>
                </c:pt>
                <c:pt idx="15">
                  <c:v>30.25</c:v>
                </c:pt>
                <c:pt idx="16">
                  <c:v>29.42</c:v>
                </c:pt>
                <c:pt idx="17">
                  <c:v>27.38</c:v>
                </c:pt>
                <c:pt idx="18">
                  <c:v>27.68</c:v>
                </c:pt>
                <c:pt idx="19">
                  <c:v>30.22</c:v>
                </c:pt>
                <c:pt idx="20">
                  <c:v>29.24</c:v>
                </c:pt>
                <c:pt idx="21">
                  <c:v>28.75</c:v>
                </c:pt>
                <c:pt idx="22">
                  <c:v>28.02</c:v>
                </c:pt>
                <c:pt idx="23">
                  <c:v>26.69</c:v>
                </c:pt>
                <c:pt idx="24">
                  <c:v>25.08</c:v>
                </c:pt>
                <c:pt idx="25">
                  <c:v>23.39</c:v>
                </c:pt>
                <c:pt idx="26">
                  <c:v>22.65</c:v>
                </c:pt>
                <c:pt idx="27">
                  <c:v>22.02</c:v>
                </c:pt>
                <c:pt idx="28">
                  <c:v>23.39</c:v>
                </c:pt>
                <c:pt idx="29">
                  <c:v>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27-4ACC-8BC9-83AD2EB55B40}"/>
            </c:ext>
          </c:extLst>
        </c:ser>
        <c:ser>
          <c:idx val="1"/>
          <c:order val="1"/>
          <c:tx>
            <c:strRef>
              <c:f>'TU11.5'!$H$2</c:f>
              <c:strCache>
                <c:ptCount val="1"/>
                <c:pt idx="0">
                  <c:v>DES Forec.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'TU11.5'!$H$5:$H$38</c:f>
              <c:numCache>
                <c:formatCode>0.00</c:formatCode>
                <c:ptCount val="34"/>
                <c:pt idx="0">
                  <c:v>26.21</c:v>
                </c:pt>
                <c:pt idx="1">
                  <c:v>25.99467844626913</c:v>
                </c:pt>
                <c:pt idx="2">
                  <c:v>26.631489185760582</c:v>
                </c:pt>
                <c:pt idx="3">
                  <c:v>27.432915675510507</c:v>
                </c:pt>
                <c:pt idx="4">
                  <c:v>28.029121096263975</c:v>
                </c:pt>
                <c:pt idx="5">
                  <c:v>28.368123890550912</c:v>
                </c:pt>
                <c:pt idx="6">
                  <c:v>28.065425418355712</c:v>
                </c:pt>
                <c:pt idx="7">
                  <c:v>30.139670267920859</c:v>
                </c:pt>
                <c:pt idx="8">
                  <c:v>32.875252707371025</c:v>
                </c:pt>
                <c:pt idx="9">
                  <c:v>33.868275201537131</c:v>
                </c:pt>
                <c:pt idx="10">
                  <c:v>35.835178821148631</c:v>
                </c:pt>
                <c:pt idx="11">
                  <c:v>33.934433353458488</c:v>
                </c:pt>
                <c:pt idx="12">
                  <c:v>32.205025684462875</c:v>
                </c:pt>
                <c:pt idx="13">
                  <c:v>31.011834384951353</c:v>
                </c:pt>
                <c:pt idx="14">
                  <c:v>30.353515512000701</c:v>
                </c:pt>
                <c:pt idx="15">
                  <c:v>30.405134743472104</c:v>
                </c:pt>
                <c:pt idx="16">
                  <c:v>30.067833964543802</c:v>
                </c:pt>
                <c:pt idx="17">
                  <c:v>28.928429816040172</c:v>
                </c:pt>
                <c:pt idx="18">
                  <c:v>28.264077670230257</c:v>
                </c:pt>
                <c:pt idx="19">
                  <c:v>28.928233352434489</c:v>
                </c:pt>
                <c:pt idx="20">
                  <c:v>28.976612685935848</c:v>
                </c:pt>
                <c:pt idx="21">
                  <c:v>28.80267910869156</c:v>
                </c:pt>
                <c:pt idx="22">
                  <c:v>28.367401231015808</c:v>
                </c:pt>
                <c:pt idx="23">
                  <c:v>27.488163315878062</c:v>
                </c:pt>
                <c:pt idx="24">
                  <c:v>26.181511458300196</c:v>
                </c:pt>
                <c:pt idx="25">
                  <c:v>24.551686447205533</c:v>
                </c:pt>
                <c:pt idx="26">
                  <c:v>23.128037554634666</c:v>
                </c:pt>
                <c:pt idx="27">
                  <c:v>21.91227348448594</c:v>
                </c:pt>
                <c:pt idx="28">
                  <c:v>21.732270058614038</c:v>
                </c:pt>
                <c:pt idx="29">
                  <c:v>21.104028467351547</c:v>
                </c:pt>
                <c:pt idx="30">
                  <c:v>20.47578687608906</c:v>
                </c:pt>
                <c:pt idx="31">
                  <c:v>19.84754528482657</c:v>
                </c:pt>
                <c:pt idx="32">
                  <c:v>19.219303693564079</c:v>
                </c:pt>
                <c:pt idx="33">
                  <c:v>18.591062102301589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27-4ACC-8BC9-83AD2EB55B40}"/>
            </c:ext>
          </c:extLst>
        </c:ser>
        <c:ser>
          <c:idx val="2"/>
          <c:order val="2"/>
          <c:tx>
            <c:strRef>
              <c:f>'TU11.5'!$N$2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'TU11.5'!$N$3:$N$38</c:f>
              <c:numCache>
                <c:formatCode>General</c:formatCode>
                <c:ptCount val="36"/>
                <c:pt idx="4" formatCode="0.00">
                  <c:v>22.83670023345341</c:v>
                </c:pt>
                <c:pt idx="5" formatCode="0.00">
                  <c:v>23.821779909716952</c:v>
                </c:pt>
                <c:pt idx="6" formatCode="0.00">
                  <c:v>25.443583118951175</c:v>
                </c:pt>
                <c:pt idx="7" formatCode="0.00">
                  <c:v>23.429783551682611</c:v>
                </c:pt>
                <c:pt idx="8" formatCode="0.00">
                  <c:v>18.206602139852635</c:v>
                </c:pt>
                <c:pt idx="9" formatCode="0.00">
                  <c:v>19.632346702990851</c:v>
                </c:pt>
                <c:pt idx="10" formatCode="0.00">
                  <c:v>22.594051281039121</c:v>
                </c:pt>
                <c:pt idx="11" formatCode="0.00">
                  <c:v>25.920979771292409</c:v>
                </c:pt>
                <c:pt idx="12" formatCode="0.00">
                  <c:v>24.625823917709056</c:v>
                </c:pt>
                <c:pt idx="13" formatCode="0.00">
                  <c:v>21.757666812073079</c:v>
                </c:pt>
                <c:pt idx="14" formatCode="0.00">
                  <c:v>20.762694741640892</c:v>
                </c:pt>
                <c:pt idx="15" formatCode="0.00">
                  <c:v>23.606855766675864</c:v>
                </c:pt>
                <c:pt idx="16" formatCode="0.00">
                  <c:v>26.3593789733732</c:v>
                </c:pt>
                <c:pt idx="17" formatCode="0.00">
                  <c:v>26.554114234003194</c:v>
                </c:pt>
                <c:pt idx="18" formatCode="0.00">
                  <c:v>25.378123360143515</c:v>
                </c:pt>
                <c:pt idx="19" formatCode="0.00">
                  <c:v>24.12138300331759</c:v>
                </c:pt>
                <c:pt idx="20" formatCode="0.00">
                  <c:v>24.852320652292608</c:v>
                </c:pt>
                <c:pt idx="21" formatCode="0.00">
                  <c:v>27.002169565655496</c:v>
                </c:pt>
                <c:pt idx="22" formatCode="0.00">
                  <c:v>27.346744945050855</c:v>
                </c:pt>
                <c:pt idx="23" formatCode="0.00">
                  <c:v>26.051835851684398</c:v>
                </c:pt>
                <c:pt idx="24" formatCode="0.00">
                  <c:v>23.609459865909251</c:v>
                </c:pt>
                <c:pt idx="25" formatCode="0.00">
                  <c:v>20.791264602712289</c:v>
                </c:pt>
                <c:pt idx="26" formatCode="0.00">
                  <c:v>18.694915180306172</c:v>
                </c:pt>
                <c:pt idx="27" formatCode="0.00">
                  <c:v>17.487804388048879</c:v>
                </c:pt>
                <c:pt idx="28" formatCode="0.00">
                  <c:v>17.979829799493476</c:v>
                </c:pt>
                <c:pt idx="29" formatCode="0.00">
                  <c:v>15.862072913447538</c:v>
                </c:pt>
                <c:pt idx="30" formatCode="0.00">
                  <c:v>14.992861369075133</c:v>
                </c:pt>
                <c:pt idx="31" formatCode="0.00">
                  <c:v>11.573065296230538</c:v>
                </c:pt>
                <c:pt idx="32" formatCode="0.00">
                  <c:v>8.8027886128364905</c:v>
                </c:pt>
                <c:pt idx="33" formatCode="0.00">
                  <c:v>6.3687279057487576</c:v>
                </c:pt>
                <c:pt idx="34" formatCode="0.00">
                  <c:v>4.1495277356023106</c:v>
                </c:pt>
                <c:pt idx="35" formatCode="0.00">
                  <c:v>2.0829496448522207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27-4ACC-8BC9-83AD2EB55B40}"/>
            </c:ext>
          </c:extLst>
        </c:ser>
        <c:ser>
          <c:idx val="3"/>
          <c:order val="3"/>
          <c:tx>
            <c:strRef>
              <c:f>'TU11.5'!$O$2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'TU11.5'!$O$3:$O$38</c:f>
              <c:numCache>
                <c:formatCode>General</c:formatCode>
                <c:ptCount val="36"/>
                <c:pt idx="4" formatCode="0.00">
                  <c:v>30.426278138067754</c:v>
                </c:pt>
                <c:pt idx="5" formatCode="0.00">
                  <c:v>31.044051441304063</c:v>
                </c:pt>
                <c:pt idx="6" formatCode="0.00">
                  <c:v>30.614659073576775</c:v>
                </c:pt>
                <c:pt idx="7" formatCode="0.00">
                  <c:v>33.306464229419213</c:v>
                </c:pt>
                <c:pt idx="8" formatCode="0.00">
                  <c:v>37.92424869685879</c:v>
                </c:pt>
                <c:pt idx="9" formatCode="0.00">
                  <c:v>40.646993832850868</c:v>
                </c:pt>
                <c:pt idx="10" formatCode="0.00">
                  <c:v>43.15645413370293</c:v>
                </c:pt>
                <c:pt idx="11" formatCode="0.00">
                  <c:v>41.815570631781853</c:v>
                </c:pt>
                <c:pt idx="12" formatCode="0.00">
                  <c:v>47.044533724588206</c:v>
                </c:pt>
                <c:pt idx="13" formatCode="0.00">
                  <c:v>46.111199894843892</c:v>
                </c:pt>
                <c:pt idx="14" formatCode="0.00">
                  <c:v>43.647356627284857</c:v>
                </c:pt>
                <c:pt idx="15" formatCode="0.00">
                  <c:v>38.416813003226842</c:v>
                </c:pt>
                <c:pt idx="16" formatCode="0.00">
                  <c:v>34.347652050628206</c:v>
                </c:pt>
                <c:pt idx="17" formatCode="0.00">
                  <c:v>34.256155252941014</c:v>
                </c:pt>
                <c:pt idx="18" formatCode="0.00">
                  <c:v>34.757544568944091</c:v>
                </c:pt>
                <c:pt idx="19" formatCode="0.00">
                  <c:v>33.735476628762754</c:v>
                </c:pt>
                <c:pt idx="20" formatCode="0.00">
                  <c:v>31.675834688167907</c:v>
                </c:pt>
                <c:pt idx="21" formatCode="0.00">
                  <c:v>30.854297139213482</c:v>
                </c:pt>
                <c:pt idx="22" formatCode="0.00">
                  <c:v>30.606480426820841</c:v>
                </c:pt>
                <c:pt idx="23" formatCode="0.00">
                  <c:v>31.553522365698722</c:v>
                </c:pt>
                <c:pt idx="24" formatCode="0.00">
                  <c:v>33.125342596122366</c:v>
                </c:pt>
                <c:pt idx="25" formatCode="0.00">
                  <c:v>34.185062029043834</c:v>
                </c:pt>
                <c:pt idx="26" formatCode="0.00">
                  <c:v>33.668107736294218</c:v>
                </c:pt>
                <c:pt idx="27" formatCode="0.00">
                  <c:v>31.615568506362187</c:v>
                </c:pt>
                <c:pt idx="28" formatCode="0.00">
                  <c:v>28.276245309775856</c:v>
                </c:pt>
                <c:pt idx="29" formatCode="0.00">
                  <c:v>27.962474055524343</c:v>
                </c:pt>
                <c:pt idx="30" formatCode="0.00">
                  <c:v>28.471678748152943</c:v>
                </c:pt>
                <c:pt idx="31" formatCode="0.00">
                  <c:v>30.634991638472556</c:v>
                </c:pt>
                <c:pt idx="32" formatCode="0.00">
                  <c:v>32.148785139341626</c:v>
                </c:pt>
                <c:pt idx="33" formatCode="0.00">
                  <c:v>33.326362663904384</c:v>
                </c:pt>
                <c:pt idx="34" formatCode="0.00">
                  <c:v>34.289079651525846</c:v>
                </c:pt>
                <c:pt idx="35" formatCode="0.00">
                  <c:v>35.099174559750956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327-4ACC-8BC9-83AD2EB55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4031120"/>
        <c:axId val="1849198656"/>
      </c:lineChart>
      <c:catAx>
        <c:axId val="1944031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198656"/>
        <c:crosses val="autoZero"/>
        <c:auto val="1"/>
        <c:lblAlgn val="ctr"/>
        <c:lblOffset val="100"/>
        <c:noMultiLvlLbl val="0"/>
      </c:catAx>
      <c:valAx>
        <c:axId val="184919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031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Birth Rate - Linear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1"/>
            <c:dispRSqr val="1"/>
            <c:dispEq val="1"/>
            <c:trendlineLbl>
              <c:layout>
                <c:manualLayout>
                  <c:x val="9.1804461942257224E-3"/>
                  <c:y val="-0.172006051326917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'TU11.6'!$C$4:$C$62</c:f>
              <c:numCache>
                <c:formatCode>General</c:formatCode>
                <c:ptCount val="59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  <c:pt idx="5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96-484D-890C-1F35D4300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8286304"/>
        <c:axId val="968293520"/>
      </c:lineChart>
      <c:catAx>
        <c:axId val="968286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93520"/>
        <c:crosses val="autoZero"/>
        <c:auto val="1"/>
        <c:lblAlgn val="ctr"/>
        <c:lblOffset val="100"/>
        <c:noMultiLvlLbl val="0"/>
      </c:catAx>
      <c:valAx>
        <c:axId val="9682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Birth Rate - Parabola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1"/>
            <c:dispRSqr val="1"/>
            <c:dispEq val="1"/>
            <c:trendlineLbl>
              <c:layout>
                <c:manualLayout>
                  <c:x val="1.7736001749781276E-2"/>
                  <c:y val="-0.106454870224555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'TU11.6'!$C$4:$C$62</c:f>
              <c:numCache>
                <c:formatCode>General</c:formatCode>
                <c:ptCount val="59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  <c:pt idx="5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BD-40D2-894D-E6E6AD81D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8286304"/>
        <c:axId val="968293520"/>
      </c:lineChart>
      <c:catAx>
        <c:axId val="968286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93520"/>
        <c:crosses val="autoZero"/>
        <c:auto val="1"/>
        <c:lblAlgn val="ctr"/>
        <c:lblOffset val="100"/>
        <c:noMultiLvlLbl val="0"/>
      </c:catAx>
      <c:valAx>
        <c:axId val="9682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Birth Rate - Power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forward val="1"/>
            <c:dispRSqr val="1"/>
            <c:dispEq val="1"/>
            <c:trendlineLbl>
              <c:layout>
                <c:manualLayout>
                  <c:x val="1.2220034995625547E-3"/>
                  <c:y val="-0.131863881598133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'TU11.6'!$C$4:$C$62</c:f>
              <c:numCache>
                <c:formatCode>General</c:formatCode>
                <c:ptCount val="59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  <c:pt idx="5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95-43BA-866B-A791EAC2E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8286304"/>
        <c:axId val="968293520"/>
      </c:lineChart>
      <c:catAx>
        <c:axId val="968286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93520"/>
        <c:crosses val="autoZero"/>
        <c:auto val="1"/>
        <c:lblAlgn val="ctr"/>
        <c:lblOffset val="100"/>
        <c:noMultiLvlLbl val="0"/>
      </c:catAx>
      <c:valAx>
        <c:axId val="9682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Birth Rate - Polynomial 3rd Degree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forward val="1"/>
            <c:dispRSqr val="1"/>
            <c:dispEq val="1"/>
            <c:trendlineLbl>
              <c:layout>
                <c:manualLayout>
                  <c:x val="8.7220034995625553E-3"/>
                  <c:y val="-0.1492913385826772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'TU11.6'!$C$4:$C$62</c:f>
              <c:numCache>
                <c:formatCode>General</c:formatCode>
                <c:ptCount val="59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  <c:pt idx="5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AE-4BBF-ADCA-20DEA970E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8286304"/>
        <c:axId val="968293520"/>
      </c:lineChart>
      <c:catAx>
        <c:axId val="968286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93520"/>
        <c:crosses val="autoZero"/>
        <c:auto val="1"/>
        <c:lblAlgn val="ctr"/>
        <c:lblOffset val="100"/>
        <c:noMultiLvlLbl val="0"/>
      </c:catAx>
      <c:valAx>
        <c:axId val="9682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Birth Rate - Moving Averages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5"/>
            <c:dispRSqr val="0"/>
            <c:dispEq val="0"/>
          </c:trendline>
          <c:val>
            <c:numRef>
              <c:f>'TU11.6'!$C$4:$C$62</c:f>
              <c:numCache>
                <c:formatCode>General</c:formatCode>
                <c:ptCount val="59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  <c:pt idx="5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0E-4FAC-9950-B4804AE41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8286304"/>
        <c:axId val="968293520"/>
      </c:lineChart>
      <c:catAx>
        <c:axId val="968286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93520"/>
        <c:crosses val="autoZero"/>
        <c:auto val="1"/>
        <c:lblAlgn val="ctr"/>
        <c:lblOffset val="100"/>
        <c:noMultiLvlLbl val="0"/>
      </c:catAx>
      <c:valAx>
        <c:axId val="96829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2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Birth Rate Forecast and Prediction Interval - SES alpha=0.3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'TU11.6'!$C$3</c:f>
              <c:strCache>
                <c:ptCount val="1"/>
                <c:pt idx="0">
                  <c:v>Birth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'TU11.6'!$C$4:$C$61</c:f>
              <c:numCache>
                <c:formatCode>General</c:formatCode>
                <c:ptCount val="58"/>
                <c:pt idx="0">
                  <c:v>17.5</c:v>
                </c:pt>
                <c:pt idx="1">
                  <c:v>17.899999999999999</c:v>
                </c:pt>
                <c:pt idx="2">
                  <c:v>18.3</c:v>
                </c:pt>
                <c:pt idx="3">
                  <c:v>18.5</c:v>
                </c:pt>
                <c:pt idx="4">
                  <c:v>18.8</c:v>
                </c:pt>
                <c:pt idx="5">
                  <c:v>18.3</c:v>
                </c:pt>
                <c:pt idx="6">
                  <c:v>17.899999999999999</c:v>
                </c:pt>
                <c:pt idx="7">
                  <c:v>17.5</c:v>
                </c:pt>
                <c:pt idx="8">
                  <c:v>17.2</c:v>
                </c:pt>
                <c:pt idx="9">
                  <c:v>16.600000000000001</c:v>
                </c:pt>
                <c:pt idx="10">
                  <c:v>16.2</c:v>
                </c:pt>
                <c:pt idx="11">
                  <c:v>16.100000000000001</c:v>
                </c:pt>
                <c:pt idx="12">
                  <c:v>14.9</c:v>
                </c:pt>
                <c:pt idx="13">
                  <c:v>13.9</c:v>
                </c:pt>
                <c:pt idx="14">
                  <c:v>13.1</c:v>
                </c:pt>
                <c:pt idx="15">
                  <c:v>12.4</c:v>
                </c:pt>
                <c:pt idx="16">
                  <c:v>12</c:v>
                </c:pt>
                <c:pt idx="17">
                  <c:v>11.7</c:v>
                </c:pt>
                <c:pt idx="18">
                  <c:v>12.2</c:v>
                </c:pt>
                <c:pt idx="19">
                  <c:v>13.1</c:v>
                </c:pt>
                <c:pt idx="20">
                  <c:v>13.4</c:v>
                </c:pt>
                <c:pt idx="21">
                  <c:v>13</c:v>
                </c:pt>
                <c:pt idx="22">
                  <c:v>12.8</c:v>
                </c:pt>
                <c:pt idx="23">
                  <c:v>12.8</c:v>
                </c:pt>
                <c:pt idx="24">
                  <c:v>12.9</c:v>
                </c:pt>
                <c:pt idx="25">
                  <c:v>13.3</c:v>
                </c:pt>
                <c:pt idx="26">
                  <c:v>13.3</c:v>
                </c:pt>
                <c:pt idx="27">
                  <c:v>13.7</c:v>
                </c:pt>
                <c:pt idx="28">
                  <c:v>13.8</c:v>
                </c:pt>
                <c:pt idx="29">
                  <c:v>13.6</c:v>
                </c:pt>
                <c:pt idx="30">
                  <c:v>13.9</c:v>
                </c:pt>
                <c:pt idx="31">
                  <c:v>13.8</c:v>
                </c:pt>
                <c:pt idx="32">
                  <c:v>13.6</c:v>
                </c:pt>
                <c:pt idx="33">
                  <c:v>13.2</c:v>
                </c:pt>
                <c:pt idx="34">
                  <c:v>13</c:v>
                </c:pt>
                <c:pt idx="35">
                  <c:v>12.6</c:v>
                </c:pt>
                <c:pt idx="36">
                  <c:v>12.6</c:v>
                </c:pt>
                <c:pt idx="37">
                  <c:v>12.5</c:v>
                </c:pt>
                <c:pt idx="38">
                  <c:v>12.3</c:v>
                </c:pt>
                <c:pt idx="39">
                  <c:v>11.9</c:v>
                </c:pt>
                <c:pt idx="40">
                  <c:v>11.5</c:v>
                </c:pt>
                <c:pt idx="41">
                  <c:v>11.3</c:v>
                </c:pt>
                <c:pt idx="42">
                  <c:v>11.3</c:v>
                </c:pt>
                <c:pt idx="43">
                  <c:v>11.7</c:v>
                </c:pt>
                <c:pt idx="44">
                  <c:v>11.9</c:v>
                </c:pt>
                <c:pt idx="45">
                  <c:v>12</c:v>
                </c:pt>
                <c:pt idx="46">
                  <c:v>12.3</c:v>
                </c:pt>
                <c:pt idx="47">
                  <c:v>12.6</c:v>
                </c:pt>
                <c:pt idx="48">
                  <c:v>12.9</c:v>
                </c:pt>
                <c:pt idx="49">
                  <c:v>12.7</c:v>
                </c:pt>
                <c:pt idx="50">
                  <c:v>12.9</c:v>
                </c:pt>
                <c:pt idx="51">
                  <c:v>12.8</c:v>
                </c:pt>
                <c:pt idx="52">
                  <c:v>12.8</c:v>
                </c:pt>
                <c:pt idx="53">
                  <c:v>12.1</c:v>
                </c:pt>
                <c:pt idx="54">
                  <c:v>12</c:v>
                </c:pt>
                <c:pt idx="55">
                  <c:v>11.9</c:v>
                </c:pt>
                <c:pt idx="56">
                  <c:v>11.8</c:v>
                </c:pt>
                <c:pt idx="57">
                  <c:v>11.4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B9-4158-8709-A3213E65C504}"/>
            </c:ext>
          </c:extLst>
        </c:ser>
        <c:ser>
          <c:idx val="1"/>
          <c:order val="1"/>
          <c:tx>
            <c:strRef>
              <c:f>'TU11.6'!$I$3</c:f>
              <c:strCache>
                <c:ptCount val="1"/>
                <c:pt idx="0">
                  <c:v>SES al=0.3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'TU11.6'!$I$4:$I$63</c:f>
              <c:numCache>
                <c:formatCode>0.0</c:formatCode>
                <c:ptCount val="60"/>
                <c:pt idx="0" formatCode="General">
                  <c:v>#N/A</c:v>
                </c:pt>
                <c:pt idx="1">
                  <c:v>17.5</c:v>
                </c:pt>
                <c:pt idx="2">
                  <c:v>17.619999999999997</c:v>
                </c:pt>
                <c:pt idx="3">
                  <c:v>17.823999999999998</c:v>
                </c:pt>
                <c:pt idx="4">
                  <c:v>18.026799999999998</c:v>
                </c:pt>
                <c:pt idx="5">
                  <c:v>18.258759999999999</c:v>
                </c:pt>
                <c:pt idx="6">
                  <c:v>18.271131999999998</c:v>
                </c:pt>
                <c:pt idx="7">
                  <c:v>18.159792399999997</c:v>
                </c:pt>
                <c:pt idx="8">
                  <c:v>17.961854679999995</c:v>
                </c:pt>
                <c:pt idx="9">
                  <c:v>17.733298275999996</c:v>
                </c:pt>
                <c:pt idx="10">
                  <c:v>17.393308793199999</c:v>
                </c:pt>
                <c:pt idx="11">
                  <c:v>17.035316155239997</c:v>
                </c:pt>
                <c:pt idx="12">
                  <c:v>16.754721308667996</c:v>
                </c:pt>
                <c:pt idx="13">
                  <c:v>16.198304916067595</c:v>
                </c:pt>
                <c:pt idx="14">
                  <c:v>15.508813441247316</c:v>
                </c:pt>
                <c:pt idx="15">
                  <c:v>14.786169408873119</c:v>
                </c:pt>
                <c:pt idx="16">
                  <c:v>14.070318586211183</c:v>
                </c:pt>
                <c:pt idx="17">
                  <c:v>13.449223010347827</c:v>
                </c:pt>
                <c:pt idx="18">
                  <c:v>12.924456107243479</c:v>
                </c:pt>
                <c:pt idx="19">
                  <c:v>12.707119275070434</c:v>
                </c:pt>
                <c:pt idx="20">
                  <c:v>12.824983492549304</c:v>
                </c:pt>
                <c:pt idx="21">
                  <c:v>12.997488444784512</c:v>
                </c:pt>
                <c:pt idx="22">
                  <c:v>12.998241911349158</c:v>
                </c:pt>
                <c:pt idx="23">
                  <c:v>12.938769337944409</c:v>
                </c:pt>
                <c:pt idx="24">
                  <c:v>12.897138536561085</c:v>
                </c:pt>
                <c:pt idx="25">
                  <c:v>12.897996975592758</c:v>
                </c:pt>
                <c:pt idx="26">
                  <c:v>13.01859788291493</c:v>
                </c:pt>
                <c:pt idx="27">
                  <c:v>13.10301851804045</c:v>
                </c:pt>
                <c:pt idx="28">
                  <c:v>13.282112962628315</c:v>
                </c:pt>
                <c:pt idx="29">
                  <c:v>13.437479073839818</c:v>
                </c:pt>
                <c:pt idx="30">
                  <c:v>13.486235351687872</c:v>
                </c:pt>
                <c:pt idx="31">
                  <c:v>13.61036474618151</c:v>
                </c:pt>
                <c:pt idx="32">
                  <c:v>13.667255322327055</c:v>
                </c:pt>
                <c:pt idx="33">
                  <c:v>13.647078725628937</c:v>
                </c:pt>
                <c:pt idx="34">
                  <c:v>13.512955107940254</c:v>
                </c:pt>
                <c:pt idx="35">
                  <c:v>13.359068575558178</c:v>
                </c:pt>
                <c:pt idx="36">
                  <c:v>13.131348002890723</c:v>
                </c:pt>
                <c:pt idx="37">
                  <c:v>12.971943602023504</c:v>
                </c:pt>
                <c:pt idx="38">
                  <c:v>12.830360521416452</c:v>
                </c:pt>
                <c:pt idx="39">
                  <c:v>12.671252364991515</c:v>
                </c:pt>
                <c:pt idx="40">
                  <c:v>12.439876655494061</c:v>
                </c:pt>
                <c:pt idx="41">
                  <c:v>12.157913658845841</c:v>
                </c:pt>
                <c:pt idx="42">
                  <c:v>11.900539561192089</c:v>
                </c:pt>
                <c:pt idx="43">
                  <c:v>11.720377692834463</c:v>
                </c:pt>
                <c:pt idx="44">
                  <c:v>11.714264384984123</c:v>
                </c:pt>
                <c:pt idx="45">
                  <c:v>11.769985069488886</c:v>
                </c:pt>
                <c:pt idx="46">
                  <c:v>11.838989548642219</c:v>
                </c:pt>
                <c:pt idx="47">
                  <c:v>11.977292684049553</c:v>
                </c:pt>
                <c:pt idx="48">
                  <c:v>12.164104878834687</c:v>
                </c:pt>
                <c:pt idx="49">
                  <c:v>12.384873415184281</c:v>
                </c:pt>
                <c:pt idx="50">
                  <c:v>12.479411390628997</c:v>
                </c:pt>
                <c:pt idx="51">
                  <c:v>12.605587973440297</c:v>
                </c:pt>
                <c:pt idx="52">
                  <c:v>12.663911581408207</c:v>
                </c:pt>
                <c:pt idx="53">
                  <c:v>12.704738106985744</c:v>
                </c:pt>
                <c:pt idx="54">
                  <c:v>12.523316674890019</c:v>
                </c:pt>
                <c:pt idx="55">
                  <c:v>12.366321672423013</c:v>
                </c:pt>
                <c:pt idx="56">
                  <c:v>12.226425170696109</c:v>
                </c:pt>
                <c:pt idx="57">
                  <c:v>12.098497619487276</c:v>
                </c:pt>
                <c:pt idx="58">
                  <c:v>11.888948333641093</c:v>
                </c:pt>
                <c:pt idx="59">
                  <c:v>11.622263833548764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B9-4158-8709-A3213E65C504}"/>
            </c:ext>
          </c:extLst>
        </c:ser>
        <c:ser>
          <c:idx val="2"/>
          <c:order val="2"/>
          <c:tx>
            <c:strRef>
              <c:f>'TU11.6'!$X$3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'TU11.6'!$X$4:$X$63</c:f>
              <c:numCache>
                <c:formatCode>0.00</c:formatCode>
                <c:ptCount val="60"/>
                <c:pt idx="4" formatCode="0.0">
                  <c:v>16.825202847252246</c:v>
                </c:pt>
                <c:pt idx="5" formatCode="0.0">
                  <c:v>16.834150070544251</c:v>
                </c:pt>
                <c:pt idx="6" formatCode="0.0">
                  <c:v>17.082327771906705</c:v>
                </c:pt>
                <c:pt idx="7" formatCode="0.0">
                  <c:v>17.166703491386727</c:v>
                </c:pt>
                <c:pt idx="8" formatCode="0.0">
                  <c:v>17.085019558078589</c:v>
                </c:pt>
                <c:pt idx="9" formatCode="0.0">
                  <c:v>16.491134205633603</c:v>
                </c:pt>
                <c:pt idx="10" formatCode="0.0">
                  <c:v>15.639237868240649</c:v>
                </c:pt>
                <c:pt idx="11" formatCode="0.0">
                  <c:v>14.937876434494729</c:v>
                </c:pt>
                <c:pt idx="12" formatCode="0.0">
                  <c:v>14.565417427284304</c:v>
                </c:pt>
                <c:pt idx="13" formatCode="0.0">
                  <c:v>13.427647664979714</c:v>
                </c:pt>
                <c:pt idx="14" formatCode="0.0">
                  <c:v>11.925865055989714</c:v>
                </c:pt>
                <c:pt idx="15" formatCode="0.0">
                  <c:v>10.378344998225664</c:v>
                </c:pt>
                <c:pt idx="16" formatCode="0.0">
                  <c:v>9.332835395857666</c:v>
                </c:pt>
                <c:pt idx="17" formatCode="0.0">
                  <c:v>8.8545023487912289</c:v>
                </c:pt>
                <c:pt idx="18" formatCode="0.0">
                  <c:v>8.7479987226983749</c:v>
                </c:pt>
                <c:pt idx="19" formatCode="0.0">
                  <c:v>9.4623563819661083</c:v>
                </c:pt>
                <c:pt idx="20" formatCode="0.0">
                  <c:v>10.588587632348844</c:v>
                </c:pt>
                <c:pt idx="21" formatCode="0.0">
                  <c:v>11.835242834020274</c:v>
                </c:pt>
                <c:pt idx="22" formatCode="0.0">
                  <c:v>12.192778404349667</c:v>
                </c:pt>
                <c:pt idx="23" formatCode="0.0">
                  <c:v>12.235301714516492</c:v>
                </c:pt>
                <c:pt idx="24" formatCode="0.0">
                  <c:v>12.617250385669179</c:v>
                </c:pt>
                <c:pt idx="25" formatCode="0.0">
                  <c:v>12.618104332082494</c:v>
                </c:pt>
                <c:pt idx="26" formatCode="0.0">
                  <c:v>12.526719608696377</c:v>
                </c:pt>
                <c:pt idx="27" formatCode="0.0">
                  <c:v>12.535470841118782</c:v>
                </c:pt>
                <c:pt idx="28" formatCode="0.0">
                  <c:v>12.388343913499611</c:v>
                </c:pt>
                <c:pt idx="29" formatCode="0.0">
                  <c:v>12.467212011611023</c:v>
                </c:pt>
                <c:pt idx="30" formatCode="0.0">
                  <c:v>12.553055580231147</c:v>
                </c:pt>
                <c:pt idx="31" formatCode="0.0">
                  <c:v>12.820991967528579</c:v>
                </c:pt>
                <c:pt idx="32" formatCode="0.0">
                  <c:v>13.10828802241725</c:v>
                </c:pt>
                <c:pt idx="33" formatCode="0.0">
                  <c:v>13.114947710878429</c:v>
                </c:pt>
                <c:pt idx="34" formatCode="0.0">
                  <c:v>12.945923329112723</c:v>
                </c:pt>
                <c:pt idx="35" formatCode="0.0">
                  <c:v>12.568253001085084</c:v>
                </c:pt>
                <c:pt idx="36" formatCode="0.0">
                  <c:v>11.952332665233461</c:v>
                </c:pt>
                <c:pt idx="37" formatCode="0.0">
                  <c:v>11.747048174598259</c:v>
                </c:pt>
                <c:pt idx="38" formatCode="0.0">
                  <c:v>11.627722631290236</c:v>
                </c:pt>
                <c:pt idx="39" formatCode="0.0">
                  <c:v>11.645650668464025</c:v>
                </c:pt>
                <c:pt idx="40" formatCode="0.0">
                  <c:v>11.227492126938955</c:v>
                </c:pt>
                <c:pt idx="41" formatCode="0.0">
                  <c:v>10.623774498549952</c:v>
                </c:pt>
                <c:pt idx="42" formatCode="0.0">
                  <c:v>10.179533791965245</c:v>
                </c:pt>
                <c:pt idx="43" formatCode="0.0">
                  <c:v>10.092924196106825</c:v>
                </c:pt>
                <c:pt idx="44" formatCode="0.0">
                  <c:v>10.50285360106311</c:v>
                </c:pt>
                <c:pt idx="45" formatCode="0.0">
                  <c:v>11.042575351560462</c:v>
                </c:pt>
                <c:pt idx="46" formatCode="0.0">
                  <c:v>11.496246365316358</c:v>
                </c:pt>
                <c:pt idx="47" formatCode="0.0">
                  <c:v>11.34388074180368</c:v>
                </c:pt>
                <c:pt idx="48" formatCode="0.0">
                  <c:v>11.229353243650975</c:v>
                </c:pt>
                <c:pt idx="49" formatCode="0.0">
                  <c:v>11.14899853665867</c:v>
                </c:pt>
                <c:pt idx="50" formatCode="0.0">
                  <c:v>11.306411285925469</c:v>
                </c:pt>
                <c:pt idx="51" formatCode="0.0">
                  <c:v>11.559711378803534</c:v>
                </c:pt>
                <c:pt idx="52" formatCode="0.0">
                  <c:v>12.015823136140058</c:v>
                </c:pt>
                <c:pt idx="53" formatCode="0.0">
                  <c:v>12.146207588264341</c:v>
                </c:pt>
                <c:pt idx="54" formatCode="0.0">
                  <c:v>11.771968516044494</c:v>
                </c:pt>
                <c:pt idx="55" formatCode="0.0">
                  <c:v>11.428080064700953</c:v>
                </c:pt>
                <c:pt idx="56" formatCode="0.0">
                  <c:v>11.155721945208649</c:v>
                </c:pt>
                <c:pt idx="57" formatCode="0.0">
                  <c:v>11.149576868997764</c:v>
                </c:pt>
                <c:pt idx="58" formatCode="0.0">
                  <c:v>10.799562741616358</c:v>
                </c:pt>
                <c:pt idx="59" formatCode="0.0">
                  <c:v>10.224789127909876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B9-4158-8709-A3213E65C504}"/>
            </c:ext>
          </c:extLst>
        </c:ser>
        <c:ser>
          <c:idx val="3"/>
          <c:order val="3"/>
          <c:tx>
            <c:strRef>
              <c:f>'TU11.6'!$Y$3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rgbClr val="92D05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'TU11.6'!$Y$4:$Y$63</c:f>
              <c:numCache>
                <c:formatCode>0.00</c:formatCode>
                <c:ptCount val="60"/>
                <c:pt idx="4" formatCode="0.0">
                  <c:v>19.22839715274775</c:v>
                </c:pt>
                <c:pt idx="5" formatCode="0.0">
                  <c:v>19.683369929455747</c:v>
                </c:pt>
                <c:pt idx="6" formatCode="0.0">
                  <c:v>19.459936228093291</c:v>
                </c:pt>
                <c:pt idx="7" formatCode="0.0">
                  <c:v>19.152881308613267</c:v>
                </c:pt>
                <c:pt idx="8" formatCode="0.0">
                  <c:v>18.838689801921401</c:v>
                </c:pt>
                <c:pt idx="9" formatCode="0.0">
                  <c:v>18.975462346366388</c:v>
                </c:pt>
                <c:pt idx="10" formatCode="0.0">
                  <c:v>19.14737971815935</c:v>
                </c:pt>
                <c:pt idx="11" formatCode="0.0">
                  <c:v>19.132755875985264</c:v>
                </c:pt>
                <c:pt idx="12" formatCode="0.0">
                  <c:v>18.94402519005169</c:v>
                </c:pt>
                <c:pt idx="13" formatCode="0.0">
                  <c:v>18.968962167155478</c:v>
                </c:pt>
                <c:pt idx="14" formatCode="0.0">
                  <c:v>19.091761826504918</c:v>
                </c:pt>
                <c:pt idx="15" formatCode="0.0">
                  <c:v>19.193993819520575</c:v>
                </c:pt>
                <c:pt idx="16" formatCode="0.0">
                  <c:v>18.807801776564702</c:v>
                </c:pt>
                <c:pt idx="17" formatCode="0.0">
                  <c:v>18.043943671904426</c:v>
                </c:pt>
                <c:pt idx="18" formatCode="0.0">
                  <c:v>17.100913491788582</c:v>
                </c:pt>
                <c:pt idx="19" formatCode="0.0">
                  <c:v>15.951882168174761</c:v>
                </c:pt>
                <c:pt idx="20" formatCode="0.0">
                  <c:v>15.061379352749764</c:v>
                </c:pt>
                <c:pt idx="21" formatCode="0.0">
                  <c:v>14.15973405554875</c:v>
                </c:pt>
                <c:pt idx="22" formatCode="0.0">
                  <c:v>13.803705418348649</c:v>
                </c:pt>
                <c:pt idx="23" formatCode="0.0">
                  <c:v>13.642236961372326</c:v>
                </c:pt>
                <c:pt idx="24" formatCode="0.0">
                  <c:v>13.177026687452992</c:v>
                </c:pt>
                <c:pt idx="25" formatCode="0.0">
                  <c:v>13.177889619103022</c:v>
                </c:pt>
                <c:pt idx="26" formatCode="0.0">
                  <c:v>13.510476157133484</c:v>
                </c:pt>
                <c:pt idx="27" formatCode="0.0">
                  <c:v>13.670566194962118</c:v>
                </c:pt>
                <c:pt idx="28" formatCode="0.0">
                  <c:v>14.175882011757018</c:v>
                </c:pt>
                <c:pt idx="29" formatCode="0.0">
                  <c:v>14.407746136068612</c:v>
                </c:pt>
                <c:pt idx="30" formatCode="0.0">
                  <c:v>14.419415123144598</c:v>
                </c:pt>
                <c:pt idx="31" formatCode="0.0">
                  <c:v>14.399737524834441</c:v>
                </c:pt>
                <c:pt idx="32" formatCode="0.0">
                  <c:v>14.226222622236859</c:v>
                </c:pt>
                <c:pt idx="33" formatCode="0.0">
                  <c:v>14.179209740379445</c:v>
                </c:pt>
                <c:pt idx="34" formatCode="0.0">
                  <c:v>14.079986886767784</c:v>
                </c:pt>
                <c:pt idx="35" formatCode="0.0">
                  <c:v>14.149884150031271</c:v>
                </c:pt>
                <c:pt idx="36" formatCode="0.0">
                  <c:v>14.310363340547985</c:v>
                </c:pt>
                <c:pt idx="37" formatCode="0.0">
                  <c:v>14.19683902944875</c:v>
                </c:pt>
                <c:pt idx="38" formatCode="0.0">
                  <c:v>14.032998411542668</c:v>
                </c:pt>
                <c:pt idx="39" formatCode="0.0">
                  <c:v>13.696854061519005</c:v>
                </c:pt>
                <c:pt idx="40" formatCode="0.0">
                  <c:v>13.652261184049166</c:v>
                </c:pt>
                <c:pt idx="41" formatCode="0.0">
                  <c:v>13.692052819141729</c:v>
                </c:pt>
                <c:pt idx="42" formatCode="0.0">
                  <c:v>13.621545330418932</c:v>
                </c:pt>
                <c:pt idx="43" formatCode="0.0">
                  <c:v>13.3478311895621</c:v>
                </c:pt>
                <c:pt idx="44" formatCode="0.0">
                  <c:v>12.925675168905135</c:v>
                </c:pt>
                <c:pt idx="45" formatCode="0.0">
                  <c:v>12.49739478741731</c:v>
                </c:pt>
                <c:pt idx="46" formatCode="0.0">
                  <c:v>12.181732731968081</c:v>
                </c:pt>
                <c:pt idx="47" formatCode="0.0">
                  <c:v>12.610704626295426</c:v>
                </c:pt>
                <c:pt idx="48" formatCode="0.0">
                  <c:v>13.098856514018399</c:v>
                </c:pt>
                <c:pt idx="49" formatCode="0.0">
                  <c:v>13.620748293709891</c:v>
                </c:pt>
                <c:pt idx="50" formatCode="0.0">
                  <c:v>13.652411495332524</c:v>
                </c:pt>
                <c:pt idx="51" formatCode="0.0">
                  <c:v>13.65146456807706</c:v>
                </c:pt>
                <c:pt idx="52" formatCode="0.0">
                  <c:v>13.312000026676357</c:v>
                </c:pt>
                <c:pt idx="53" formatCode="0.0">
                  <c:v>13.263268625707147</c:v>
                </c:pt>
                <c:pt idx="54" formatCode="0.0">
                  <c:v>13.274664833735544</c:v>
                </c:pt>
                <c:pt idx="55" formatCode="0.0">
                  <c:v>13.304563280145072</c:v>
                </c:pt>
                <c:pt idx="56" formatCode="0.0">
                  <c:v>13.297128396183568</c:v>
                </c:pt>
                <c:pt idx="57" formatCode="0.0">
                  <c:v>13.047418369976787</c:v>
                </c:pt>
                <c:pt idx="58" formatCode="0.0">
                  <c:v>12.978333925665828</c:v>
                </c:pt>
                <c:pt idx="59" formatCode="0.0">
                  <c:v>13.019738539187653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8B9-4158-8709-A3213E65C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7010712"/>
        <c:axId val="1027011040"/>
      </c:lineChart>
      <c:catAx>
        <c:axId val="1027010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7011040"/>
        <c:crosses val="autoZero"/>
        <c:auto val="1"/>
        <c:lblAlgn val="ctr"/>
        <c:lblOffset val="100"/>
        <c:noMultiLvlLbl val="0"/>
      </c:catAx>
      <c:valAx>
        <c:axId val="1027011040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7010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Decomposition 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'X11.17'!$L$3</c:f>
              <c:strCache>
                <c:ptCount val="1"/>
                <c:pt idx="0">
                  <c:v>Y=TCSI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'X11.17'!$L$4:$L$23</c:f>
              <c:numCache>
                <c:formatCode>0.0</c:formatCode>
                <c:ptCount val="20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79-41FC-A307-5786F2984204}"/>
            </c:ext>
          </c:extLst>
        </c:ser>
        <c:ser>
          <c:idx val="1"/>
          <c:order val="1"/>
          <c:tx>
            <c:strRef>
              <c:f>'X11.17'!$S$3</c:f>
              <c:strCache>
                <c:ptCount val="1"/>
                <c:pt idx="0">
                  <c:v>Ŷ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'X11.17'!$S$4:$S$23</c:f>
              <c:numCache>
                <c:formatCode>0.00</c:formatCode>
                <c:ptCount val="20"/>
                <c:pt idx="0">
                  <c:v>106.18087542517866</c:v>
                </c:pt>
                <c:pt idx="1">
                  <c:v>153.70862601450906</c:v>
                </c:pt>
                <c:pt idx="2">
                  <c:v>152.15590744976251</c:v>
                </c:pt>
                <c:pt idx="3">
                  <c:v>139.8617058133168</c:v>
                </c:pt>
                <c:pt idx="4">
                  <c:v>121.94375918734424</c:v>
                </c:pt>
                <c:pt idx="5">
                  <c:v>175.71058825507021</c:v>
                </c:pt>
                <c:pt idx="6">
                  <c:v>173.18314886918412</c:v>
                </c:pt>
                <c:pt idx="7">
                  <c:v>158.54447741198152</c:v>
                </c:pt>
                <c:pt idx="8">
                  <c:v>137.70664294950981</c:v>
                </c:pt>
                <c:pt idx="9">
                  <c:v>197.71255049563138</c:v>
                </c:pt>
                <c:pt idx="10">
                  <c:v>194.21039028860577</c:v>
                </c:pt>
                <c:pt idx="11">
                  <c:v>177.2272490106462</c:v>
                </c:pt>
                <c:pt idx="12">
                  <c:v>153.46952671167543</c:v>
                </c:pt>
                <c:pt idx="13">
                  <c:v>219.71451273619255</c:v>
                </c:pt>
                <c:pt idx="14">
                  <c:v>215.23763170802738</c:v>
                </c:pt>
                <c:pt idx="15">
                  <c:v>195.91002060931089</c:v>
                </c:pt>
                <c:pt idx="16">
                  <c:v>169.23241047384101</c:v>
                </c:pt>
                <c:pt idx="17">
                  <c:v>241.71647497675369</c:v>
                </c:pt>
                <c:pt idx="18">
                  <c:v>236.26487312744899</c:v>
                </c:pt>
                <c:pt idx="19">
                  <c:v>214.59279220797561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79-41FC-A307-5786F2984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504864"/>
        <c:axId val="826506176"/>
      </c:lineChart>
      <c:catAx>
        <c:axId val="826504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6176"/>
        <c:crosses val="autoZero"/>
        <c:auto val="1"/>
        <c:lblAlgn val="ctr"/>
        <c:lblOffset val="100"/>
        <c:noMultiLvlLbl val="0"/>
      </c:catAx>
      <c:valAx>
        <c:axId val="826506176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Decomposition Forecast and Prediction Interval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'X11.17'!$L$3</c:f>
              <c:strCache>
                <c:ptCount val="1"/>
                <c:pt idx="0">
                  <c:v>Y=TCSI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'X11.17'!$L$4:$L$23</c:f>
              <c:numCache>
                <c:formatCode>0.0</c:formatCode>
                <c:ptCount val="20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D2-4D5F-86FC-74819FB736FC}"/>
            </c:ext>
          </c:extLst>
        </c:ser>
        <c:ser>
          <c:idx val="1"/>
          <c:order val="1"/>
          <c:tx>
            <c:strRef>
              <c:f>'X11.17'!$S$3</c:f>
              <c:strCache>
                <c:ptCount val="1"/>
                <c:pt idx="0">
                  <c:v>Ŷ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'X11.17'!$S$4:$S$23</c:f>
              <c:numCache>
                <c:formatCode>0.00</c:formatCode>
                <c:ptCount val="20"/>
                <c:pt idx="0">
                  <c:v>106.18087542517866</c:v>
                </c:pt>
                <c:pt idx="1">
                  <c:v>153.70862601450906</c:v>
                </c:pt>
                <c:pt idx="2">
                  <c:v>152.15590744976251</c:v>
                </c:pt>
                <c:pt idx="3">
                  <c:v>139.8617058133168</c:v>
                </c:pt>
                <c:pt idx="4">
                  <c:v>121.94375918734424</c:v>
                </c:pt>
                <c:pt idx="5">
                  <c:v>175.71058825507021</c:v>
                </c:pt>
                <c:pt idx="6">
                  <c:v>173.18314886918412</c:v>
                </c:pt>
                <c:pt idx="7">
                  <c:v>158.54447741198152</c:v>
                </c:pt>
                <c:pt idx="8">
                  <c:v>137.70664294950981</c:v>
                </c:pt>
                <c:pt idx="9">
                  <c:v>197.71255049563138</c:v>
                </c:pt>
                <c:pt idx="10">
                  <c:v>194.21039028860577</c:v>
                </c:pt>
                <c:pt idx="11">
                  <c:v>177.2272490106462</c:v>
                </c:pt>
                <c:pt idx="12">
                  <c:v>153.46952671167543</c:v>
                </c:pt>
                <c:pt idx="13">
                  <c:v>219.71451273619255</c:v>
                </c:pt>
                <c:pt idx="14">
                  <c:v>215.23763170802738</c:v>
                </c:pt>
                <c:pt idx="15">
                  <c:v>195.91002060931089</c:v>
                </c:pt>
                <c:pt idx="16">
                  <c:v>169.23241047384101</c:v>
                </c:pt>
                <c:pt idx="17">
                  <c:v>241.71647497675369</c:v>
                </c:pt>
                <c:pt idx="18">
                  <c:v>236.26487312744899</c:v>
                </c:pt>
                <c:pt idx="19">
                  <c:v>214.59279220797561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D2-4D5F-86FC-74819FB736FC}"/>
            </c:ext>
          </c:extLst>
        </c:ser>
        <c:ser>
          <c:idx val="2"/>
          <c:order val="2"/>
          <c:tx>
            <c:strRef>
              <c:f>'X11.17'!$W$3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'X11.17'!$W$4:$W$23</c:f>
              <c:numCache>
                <c:formatCode>0.00</c:formatCode>
                <c:ptCount val="20"/>
                <c:pt idx="0">
                  <c:v>89.869871229736091</c:v>
                </c:pt>
                <c:pt idx="1">
                  <c:v>137.3976218190665</c:v>
                </c:pt>
                <c:pt idx="2">
                  <c:v>135.84490325431995</c:v>
                </c:pt>
                <c:pt idx="3">
                  <c:v>123.55070161787424</c:v>
                </c:pt>
                <c:pt idx="4">
                  <c:v>105.63275499190168</c:v>
                </c:pt>
                <c:pt idx="5">
                  <c:v>159.39958405962764</c:v>
                </c:pt>
                <c:pt idx="6">
                  <c:v>156.87214467374156</c:v>
                </c:pt>
                <c:pt idx="7">
                  <c:v>142.23347321653895</c:v>
                </c:pt>
                <c:pt idx="8">
                  <c:v>121.39563875406725</c:v>
                </c:pt>
                <c:pt idx="9">
                  <c:v>181.40154630018881</c:v>
                </c:pt>
                <c:pt idx="10">
                  <c:v>177.8993860931632</c:v>
                </c:pt>
                <c:pt idx="11">
                  <c:v>160.91624481520364</c:v>
                </c:pt>
                <c:pt idx="12">
                  <c:v>137.15852251623286</c:v>
                </c:pt>
                <c:pt idx="13">
                  <c:v>203.40350854074998</c:v>
                </c:pt>
                <c:pt idx="14">
                  <c:v>198.92662751258482</c:v>
                </c:pt>
                <c:pt idx="15">
                  <c:v>179.59901641386833</c:v>
                </c:pt>
                <c:pt idx="16">
                  <c:v>152.92140627839845</c:v>
                </c:pt>
                <c:pt idx="17">
                  <c:v>218.64923162763435</c:v>
                </c:pt>
                <c:pt idx="18">
                  <c:v>208.01338513847335</c:v>
                </c:pt>
                <c:pt idx="19">
                  <c:v>181.97078381709048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D2-4D5F-86FC-74819FB736FC}"/>
            </c:ext>
          </c:extLst>
        </c:ser>
        <c:ser>
          <c:idx val="3"/>
          <c:order val="3"/>
          <c:tx>
            <c:strRef>
              <c:f>'X11.17'!$X$3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'X11.17'!$X$4:$X$23</c:f>
              <c:numCache>
                <c:formatCode>0.00</c:formatCode>
                <c:ptCount val="20"/>
                <c:pt idx="0">
                  <c:v>122.49187962062122</c:v>
                </c:pt>
                <c:pt idx="1">
                  <c:v>170.01963020995163</c:v>
                </c:pt>
                <c:pt idx="2">
                  <c:v>168.46691164520507</c:v>
                </c:pt>
                <c:pt idx="3">
                  <c:v>156.17271000875937</c:v>
                </c:pt>
                <c:pt idx="4">
                  <c:v>138.25476338278679</c:v>
                </c:pt>
                <c:pt idx="5">
                  <c:v>192.02159245051277</c:v>
                </c:pt>
                <c:pt idx="6">
                  <c:v>189.49415306462669</c:v>
                </c:pt>
                <c:pt idx="7">
                  <c:v>174.85548160742408</c:v>
                </c:pt>
                <c:pt idx="8">
                  <c:v>154.01764714495238</c:v>
                </c:pt>
                <c:pt idx="9">
                  <c:v>214.02355469107394</c:v>
                </c:pt>
                <c:pt idx="10">
                  <c:v>210.52139448404833</c:v>
                </c:pt>
                <c:pt idx="11">
                  <c:v>193.53825320608877</c:v>
                </c:pt>
                <c:pt idx="12">
                  <c:v>169.78053090711799</c:v>
                </c:pt>
                <c:pt idx="13">
                  <c:v>236.02551693163511</c:v>
                </c:pt>
                <c:pt idx="14">
                  <c:v>231.54863590346994</c:v>
                </c:pt>
                <c:pt idx="15">
                  <c:v>212.22102480475345</c:v>
                </c:pt>
                <c:pt idx="16">
                  <c:v>185.54341466928358</c:v>
                </c:pt>
                <c:pt idx="17">
                  <c:v>264.783718325873</c:v>
                </c:pt>
                <c:pt idx="18">
                  <c:v>264.5163611164246</c:v>
                </c:pt>
                <c:pt idx="19">
                  <c:v>247.21480059886073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D2-4D5F-86FC-74819FB736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504864"/>
        <c:axId val="826506176"/>
      </c:lineChart>
      <c:catAx>
        <c:axId val="826504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6176"/>
        <c:crosses val="autoZero"/>
        <c:auto val="1"/>
        <c:lblAlgn val="ctr"/>
        <c:lblOffset val="100"/>
        <c:noMultiLvlLbl val="0"/>
      </c:catAx>
      <c:valAx>
        <c:axId val="826506176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650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Holt-Winters Seasonal exponential model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'X11.18'!$D$3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'X11.18'!$D$4:$D$19</c:f>
              <c:numCache>
                <c:formatCode>0.0</c:formatCode>
                <c:ptCount val="16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EB-49CB-BBCD-7556B161F79E}"/>
            </c:ext>
          </c:extLst>
        </c:ser>
        <c:ser>
          <c:idx val="1"/>
          <c:order val="1"/>
          <c:tx>
            <c:strRef>
              <c:f>'X11.18'!$H$3</c:f>
              <c:strCache>
                <c:ptCount val="1"/>
                <c:pt idx="0">
                  <c:v>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'X11.18'!$H$4:$H$23</c:f>
              <c:numCache>
                <c:formatCode>0.0</c:formatCode>
                <c:ptCount val="20"/>
                <c:pt idx="4">
                  <c:v>100</c:v>
                </c:pt>
                <c:pt idx="5">
                  <c:v>186.39999999999998</c:v>
                </c:pt>
                <c:pt idx="6">
                  <c:v>184.125</c:v>
                </c:pt>
                <c:pt idx="7">
                  <c:v>163.01249999999999</c:v>
                </c:pt>
                <c:pt idx="8">
                  <c:v>121.7657087891463</c:v>
                </c:pt>
                <c:pt idx="9">
                  <c:v>209.68619259580234</c:v>
                </c:pt>
                <c:pt idx="10">
                  <c:v>193.53310622858103</c:v>
                </c:pt>
                <c:pt idx="11">
                  <c:v>197.95879449515616</c:v>
                </c:pt>
                <c:pt idx="12">
                  <c:v>150.20716044431046</c:v>
                </c:pt>
                <c:pt idx="13">
                  <c:v>223.74891409336644</c:v>
                </c:pt>
                <c:pt idx="14">
                  <c:v>192.67487602828263</c:v>
                </c:pt>
                <c:pt idx="15">
                  <c:v>196.26722020154114</c:v>
                </c:pt>
                <c:pt idx="16">
                  <c:v>163.42395220496894</c:v>
                </c:pt>
                <c:pt idx="17">
                  <c:v>232.57324681192708</c:v>
                </c:pt>
                <c:pt idx="18">
                  <c:v>226.8204709242286</c:v>
                </c:pt>
                <c:pt idx="19">
                  <c:v>204.76000396813023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EB-49CB-BBCD-7556B161F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565952"/>
        <c:axId val="817559064"/>
      </c:lineChart>
      <c:catAx>
        <c:axId val="81756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59064"/>
        <c:crosses val="autoZero"/>
        <c:auto val="1"/>
        <c:lblAlgn val="ctr"/>
        <c:lblOffset val="100"/>
        <c:noMultiLvlLbl val="0"/>
      </c:catAx>
      <c:valAx>
        <c:axId val="81755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6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Optimised Holt-Winters exponential solution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'X11.19'!$D$3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'X11.19'!$D$4:$D$19</c:f>
              <c:numCache>
                <c:formatCode>0.0</c:formatCode>
                <c:ptCount val="16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0B-4EF9-B2BC-F56F4B0BB15C}"/>
            </c:ext>
          </c:extLst>
        </c:ser>
        <c:ser>
          <c:idx val="1"/>
          <c:order val="1"/>
          <c:tx>
            <c:strRef>
              <c:f>'X11.19'!$H$3</c:f>
              <c:strCache>
                <c:ptCount val="1"/>
                <c:pt idx="0">
                  <c:v>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'X11.19'!$H$4:$H$23</c:f>
              <c:numCache>
                <c:formatCode>0.0</c:formatCode>
                <c:ptCount val="20"/>
                <c:pt idx="4">
                  <c:v>100</c:v>
                </c:pt>
                <c:pt idx="5">
                  <c:v>173.52162699206593</c:v>
                </c:pt>
                <c:pt idx="6">
                  <c:v>170.03575157504019</c:v>
                </c:pt>
                <c:pt idx="7">
                  <c:v>157.92759288474281</c:v>
                </c:pt>
                <c:pt idx="8">
                  <c:v>121.65503422726707</c:v>
                </c:pt>
                <c:pt idx="9">
                  <c:v>202.05702554780714</c:v>
                </c:pt>
                <c:pt idx="10">
                  <c:v>186.51543602723314</c:v>
                </c:pt>
                <c:pt idx="11">
                  <c:v>186.94908977241636</c:v>
                </c:pt>
                <c:pt idx="12">
                  <c:v>149.20190329276372</c:v>
                </c:pt>
                <c:pt idx="13">
                  <c:v>226.86174774070778</c:v>
                </c:pt>
                <c:pt idx="14">
                  <c:v>203.35883656921146</c:v>
                </c:pt>
                <c:pt idx="15">
                  <c:v>195.82369568582195</c:v>
                </c:pt>
                <c:pt idx="16">
                  <c:v>161.42329656112818</c:v>
                </c:pt>
                <c:pt idx="17">
                  <c:v>230.25063248607913</c:v>
                </c:pt>
                <c:pt idx="18">
                  <c:v>224.22326261347959</c:v>
                </c:pt>
                <c:pt idx="19">
                  <c:v>202.66256211226829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0B-4EF9-B2BC-F56F4B0BB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9481872"/>
        <c:axId val="807545688"/>
      </c:lineChart>
      <c:catAx>
        <c:axId val="709481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545688"/>
        <c:crosses val="autoZero"/>
        <c:auto val="1"/>
        <c:lblAlgn val="ctr"/>
        <c:lblOffset val="100"/>
        <c:noMultiLvlLbl val="0"/>
      </c:catAx>
      <c:valAx>
        <c:axId val="807545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48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Forecast and prediction intervals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'X11.20'!$E$3</c:f>
              <c:strCache>
                <c:ptCount val="1"/>
                <c:pt idx="0">
                  <c:v>Ft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'X11.20'!$E$4:$E$23</c:f>
              <c:numCache>
                <c:formatCode>0.0</c:formatCode>
                <c:ptCount val="20"/>
                <c:pt idx="4">
                  <c:v>100</c:v>
                </c:pt>
                <c:pt idx="5">
                  <c:v>173.52162699206593</c:v>
                </c:pt>
                <c:pt idx="6">
                  <c:v>170.03575157504019</c:v>
                </c:pt>
                <c:pt idx="7">
                  <c:v>157.92759288474281</c:v>
                </c:pt>
                <c:pt idx="8">
                  <c:v>121.65503422726707</c:v>
                </c:pt>
                <c:pt idx="9">
                  <c:v>202.05702554780714</c:v>
                </c:pt>
                <c:pt idx="10">
                  <c:v>186.51543602723314</c:v>
                </c:pt>
                <c:pt idx="11">
                  <c:v>186.94908977241636</c:v>
                </c:pt>
                <c:pt idx="12">
                  <c:v>149.20190329276372</c:v>
                </c:pt>
                <c:pt idx="13">
                  <c:v>226.86174774070778</c:v>
                </c:pt>
                <c:pt idx="14">
                  <c:v>203.35883656921146</c:v>
                </c:pt>
                <c:pt idx="15">
                  <c:v>195.82369568582195</c:v>
                </c:pt>
                <c:pt idx="16">
                  <c:v>161.42329656112818</c:v>
                </c:pt>
                <c:pt idx="17">
                  <c:v>230.25063248607913</c:v>
                </c:pt>
                <c:pt idx="18">
                  <c:v>224.22326261347959</c:v>
                </c:pt>
                <c:pt idx="19">
                  <c:v>202.66256211226829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B5-4863-AC3B-E4B35F3BE0CC}"/>
            </c:ext>
          </c:extLst>
        </c:ser>
        <c:ser>
          <c:idx val="1"/>
          <c:order val="1"/>
          <c:tx>
            <c:strRef>
              <c:f>'X11.20'!$J$3</c:f>
              <c:strCache>
                <c:ptCount val="1"/>
                <c:pt idx="0">
                  <c:v>PI-</c:v>
                </c:pt>
              </c:strCache>
            </c:strRef>
          </c:tx>
          <c:spPr>
            <a:ln w="28575" cap="rnd">
              <a:solidFill>
                <a:srgbClr val="92D05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'X11.20'!$J$4:$J$23</c:f>
              <c:numCache>
                <c:formatCode>0.00</c:formatCode>
                <c:ptCount val="20"/>
                <c:pt idx="4">
                  <c:v>69.62880566563922</c:v>
                </c:pt>
                <c:pt idx="5">
                  <c:v>143.15043265770515</c:v>
                </c:pt>
                <c:pt idx="6">
                  <c:v>139.66455724067941</c:v>
                </c:pt>
                <c:pt idx="7">
                  <c:v>127.55639855038203</c:v>
                </c:pt>
                <c:pt idx="8">
                  <c:v>91.283839892906286</c:v>
                </c:pt>
                <c:pt idx="9">
                  <c:v>171.68583121344636</c:v>
                </c:pt>
                <c:pt idx="10">
                  <c:v>156.14424169287236</c:v>
                </c:pt>
                <c:pt idx="11">
                  <c:v>156.57789543805558</c:v>
                </c:pt>
                <c:pt idx="12">
                  <c:v>118.83070895840294</c:v>
                </c:pt>
                <c:pt idx="13">
                  <c:v>196.490553406347</c:v>
                </c:pt>
                <c:pt idx="14">
                  <c:v>172.98764223485068</c:v>
                </c:pt>
                <c:pt idx="15">
                  <c:v>165.45250135146117</c:v>
                </c:pt>
                <c:pt idx="16">
                  <c:v>131.0521022267674</c:v>
                </c:pt>
                <c:pt idx="17">
                  <c:v>187.29927755295722</c:v>
                </c:pt>
                <c:pt idx="18">
                  <c:v>171.6188109398187</c:v>
                </c:pt>
                <c:pt idx="19">
                  <c:v>141.92017344354673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B5-4863-AC3B-E4B35F3BE0CC}"/>
            </c:ext>
          </c:extLst>
        </c:ser>
        <c:ser>
          <c:idx val="2"/>
          <c:order val="2"/>
          <c:tx>
            <c:strRef>
              <c:f>'X11.20'!$K$3</c:f>
              <c:strCache>
                <c:ptCount val="1"/>
                <c:pt idx="0">
                  <c:v>PI+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'X11.20'!$K$4:$K$23</c:f>
              <c:numCache>
                <c:formatCode>0.00</c:formatCode>
                <c:ptCount val="20"/>
                <c:pt idx="4">
                  <c:v>130.37119433436078</c:v>
                </c:pt>
                <c:pt idx="5">
                  <c:v>203.89282132642671</c:v>
                </c:pt>
                <c:pt idx="6">
                  <c:v>200.40694590940097</c:v>
                </c:pt>
                <c:pt idx="7">
                  <c:v>188.29878721910359</c:v>
                </c:pt>
                <c:pt idx="8">
                  <c:v>152.02622856162785</c:v>
                </c:pt>
                <c:pt idx="9">
                  <c:v>232.42821988216792</c:v>
                </c:pt>
                <c:pt idx="10">
                  <c:v>216.88663036159392</c:v>
                </c:pt>
                <c:pt idx="11">
                  <c:v>217.32028410677714</c:v>
                </c:pt>
                <c:pt idx="12">
                  <c:v>179.5730976271245</c:v>
                </c:pt>
                <c:pt idx="13">
                  <c:v>257.23294207506854</c:v>
                </c:pt>
                <c:pt idx="14">
                  <c:v>233.73003090357224</c:v>
                </c:pt>
                <c:pt idx="15">
                  <c:v>226.19489002018273</c:v>
                </c:pt>
                <c:pt idx="16">
                  <c:v>191.79449089548896</c:v>
                </c:pt>
                <c:pt idx="17">
                  <c:v>273.20198741920103</c:v>
                </c:pt>
                <c:pt idx="18">
                  <c:v>276.82771428714045</c:v>
                </c:pt>
                <c:pt idx="19">
                  <c:v>263.40495078098985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B5-4863-AC3B-E4B35F3BE0CC}"/>
            </c:ext>
          </c:extLst>
        </c:ser>
        <c:ser>
          <c:idx val="3"/>
          <c:order val="3"/>
          <c:tx>
            <c:strRef>
              <c:f>'X11.20'!$D$3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'X11.20'!$D$4:$D$19</c:f>
              <c:numCache>
                <c:formatCode>0.0</c:formatCode>
                <c:ptCount val="16"/>
                <c:pt idx="0">
                  <c:v>100</c:v>
                </c:pt>
                <c:pt idx="1">
                  <c:v>160</c:v>
                </c:pt>
                <c:pt idx="2">
                  <c:v>150</c:v>
                </c:pt>
                <c:pt idx="3">
                  <c:v>140</c:v>
                </c:pt>
                <c:pt idx="4">
                  <c:v>122</c:v>
                </c:pt>
                <c:pt idx="5">
                  <c:v>188</c:v>
                </c:pt>
                <c:pt idx="6">
                  <c:v>160</c:v>
                </c:pt>
                <c:pt idx="7">
                  <c:v>159</c:v>
                </c:pt>
                <c:pt idx="8">
                  <c:v>141</c:v>
                </c:pt>
                <c:pt idx="9">
                  <c:v>204</c:v>
                </c:pt>
                <c:pt idx="10">
                  <c:v>201</c:v>
                </c:pt>
                <c:pt idx="11">
                  <c:v>179</c:v>
                </c:pt>
                <c:pt idx="12">
                  <c:v>150</c:v>
                </c:pt>
                <c:pt idx="13">
                  <c:v>200</c:v>
                </c:pt>
                <c:pt idx="14">
                  <c:v>220</c:v>
                </c:pt>
                <c:pt idx="15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B5-4863-AC3B-E4B35F3BE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5409512"/>
        <c:axId val="815416400"/>
      </c:lineChart>
      <c:catAx>
        <c:axId val="815409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point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5416400"/>
        <c:crosses val="autoZero"/>
        <c:auto val="1"/>
        <c:lblAlgn val="ctr"/>
        <c:lblOffset val="100"/>
        <c:noMultiLvlLbl val="0"/>
      </c:catAx>
      <c:valAx>
        <c:axId val="81541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540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'TU11.1'!$I$2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'TU11.1'!$I$3:$I$33</c:f>
              <c:numCache>
                <c:formatCode>General</c:formatCode>
                <c:ptCount val="31"/>
                <c:pt idx="0">
                  <c:v>26.21</c:v>
                </c:pt>
                <c:pt idx="1">
                  <c:v>25.72</c:v>
                </c:pt>
                <c:pt idx="2">
                  <c:v>27.51</c:v>
                </c:pt>
                <c:pt idx="3">
                  <c:v>28.32</c:v>
                </c:pt>
                <c:pt idx="4">
                  <c:v>28.42</c:v>
                </c:pt>
                <c:pt idx="5">
                  <c:v>28.28</c:v>
                </c:pt>
                <c:pt idx="6">
                  <c:v>27.1</c:v>
                </c:pt>
                <c:pt idx="7">
                  <c:v>32.35</c:v>
                </c:pt>
                <c:pt idx="8">
                  <c:v>35.33</c:v>
                </c:pt>
                <c:pt idx="9">
                  <c:v>33.35</c:v>
                </c:pt>
                <c:pt idx="10">
                  <c:v>36.409999999999997</c:v>
                </c:pt>
                <c:pt idx="11">
                  <c:v>29.14</c:v>
                </c:pt>
                <c:pt idx="12">
                  <c:v>28.42</c:v>
                </c:pt>
                <c:pt idx="13">
                  <c:v>28.58</c:v>
                </c:pt>
                <c:pt idx="14">
                  <c:v>29.05</c:v>
                </c:pt>
                <c:pt idx="15">
                  <c:v>30.25</c:v>
                </c:pt>
                <c:pt idx="16">
                  <c:v>29.42</c:v>
                </c:pt>
                <c:pt idx="17">
                  <c:v>27.38</c:v>
                </c:pt>
                <c:pt idx="18">
                  <c:v>27.68</c:v>
                </c:pt>
                <c:pt idx="19">
                  <c:v>30.22</c:v>
                </c:pt>
                <c:pt idx="20">
                  <c:v>29.24</c:v>
                </c:pt>
                <c:pt idx="21">
                  <c:v>28.75</c:v>
                </c:pt>
                <c:pt idx="22">
                  <c:v>28.02</c:v>
                </c:pt>
                <c:pt idx="23">
                  <c:v>26.69</c:v>
                </c:pt>
                <c:pt idx="24">
                  <c:v>25.08</c:v>
                </c:pt>
                <c:pt idx="25">
                  <c:v>23.39</c:v>
                </c:pt>
                <c:pt idx="26">
                  <c:v>22.65</c:v>
                </c:pt>
                <c:pt idx="27">
                  <c:v>22.02</c:v>
                </c:pt>
                <c:pt idx="28">
                  <c:v>23.39</c:v>
                </c:pt>
                <c:pt idx="29">
                  <c:v>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6-4848-AA2B-7E24EC3FE616}"/>
            </c:ext>
          </c:extLst>
        </c:ser>
        <c:ser>
          <c:idx val="1"/>
          <c:order val="1"/>
          <c:tx>
            <c:strRef>
              <c:f>'TU11.1'!$J$2</c:f>
              <c:strCache>
                <c:ptCount val="1"/>
                <c:pt idx="0">
                  <c:v>3SMA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'TU11.1'!$J$3:$J$33</c:f>
              <c:numCache>
                <c:formatCode>General</c:formatCode>
                <c:ptCount val="31"/>
                <c:pt idx="3" formatCode="0.00">
                  <c:v>26.48</c:v>
                </c:pt>
                <c:pt idx="4" formatCode="0.00">
                  <c:v>27.183333333333337</c:v>
                </c:pt>
                <c:pt idx="5" formatCode="0.00">
                  <c:v>28.083333333333332</c:v>
                </c:pt>
                <c:pt idx="6" formatCode="0.00">
                  <c:v>28.340000000000003</c:v>
                </c:pt>
                <c:pt idx="7" formatCode="0.00">
                  <c:v>27.933333333333337</c:v>
                </c:pt>
                <c:pt idx="8" formatCode="0.00">
                  <c:v>29.243333333333336</c:v>
                </c:pt>
                <c:pt idx="9" formatCode="0.00">
                  <c:v>31.593333333333334</c:v>
                </c:pt>
                <c:pt idx="10" formatCode="0.00">
                  <c:v>33.676666666666669</c:v>
                </c:pt>
                <c:pt idx="11" formatCode="0.00">
                  <c:v>35.03</c:v>
                </c:pt>
                <c:pt idx="12" formatCode="0.00">
                  <c:v>32.966666666666661</c:v>
                </c:pt>
                <c:pt idx="13" formatCode="0.00">
                  <c:v>31.323333333333334</c:v>
                </c:pt>
                <c:pt idx="14" formatCode="0.00">
                  <c:v>28.713333333333335</c:v>
                </c:pt>
                <c:pt idx="15" formatCode="0.00">
                  <c:v>28.683333333333334</c:v>
                </c:pt>
                <c:pt idx="16" formatCode="0.00">
                  <c:v>29.293333333333333</c:v>
                </c:pt>
                <c:pt idx="17" formatCode="0.00">
                  <c:v>29.573333333333334</c:v>
                </c:pt>
                <c:pt idx="18" formatCode="0.00">
                  <c:v>29.016666666666666</c:v>
                </c:pt>
                <c:pt idx="19" formatCode="0.00">
                  <c:v>28.159999999999997</c:v>
                </c:pt>
                <c:pt idx="20" formatCode="0.00">
                  <c:v>28.426666666666666</c:v>
                </c:pt>
                <c:pt idx="21" formatCode="0.00">
                  <c:v>29.046666666666667</c:v>
                </c:pt>
                <c:pt idx="22" formatCode="0.00">
                  <c:v>29.403333333333332</c:v>
                </c:pt>
                <c:pt idx="23" formatCode="0.00">
                  <c:v>28.669999999999998</c:v>
                </c:pt>
                <c:pt idx="24" formatCode="0.00">
                  <c:v>27.819999999999997</c:v>
                </c:pt>
                <c:pt idx="25" formatCode="0.00">
                  <c:v>26.596666666666664</c:v>
                </c:pt>
                <c:pt idx="26" formatCode="0.00">
                  <c:v>25.053333333333331</c:v>
                </c:pt>
                <c:pt idx="27" formatCode="0.00">
                  <c:v>23.706666666666667</c:v>
                </c:pt>
                <c:pt idx="28" formatCode="0.00">
                  <c:v>22.686666666666667</c:v>
                </c:pt>
                <c:pt idx="29" formatCode="0.00">
                  <c:v>22.686666666666667</c:v>
                </c:pt>
                <c:pt idx="30" formatCode="0.00">
                  <c:v>23.919999999999998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36-4848-AA2B-7E24EC3FE616}"/>
            </c:ext>
          </c:extLst>
        </c:ser>
        <c:ser>
          <c:idx val="2"/>
          <c:order val="2"/>
          <c:tx>
            <c:strRef>
              <c:f>'TU11.1'!$K$2</c:f>
              <c:strCache>
                <c:ptCount val="1"/>
                <c:pt idx="0">
                  <c:v>5SMA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'TU11.1'!$K$3:$K$33</c:f>
              <c:numCache>
                <c:formatCode>General</c:formatCode>
                <c:ptCount val="31"/>
                <c:pt idx="5" formatCode="0.00">
                  <c:v>27.236000000000001</c:v>
                </c:pt>
                <c:pt idx="6" formatCode="0.00">
                  <c:v>27.65</c:v>
                </c:pt>
                <c:pt idx="7" formatCode="0.00">
                  <c:v>27.925999999999998</c:v>
                </c:pt>
                <c:pt idx="8" formatCode="0.00">
                  <c:v>28.893999999999998</c:v>
                </c:pt>
                <c:pt idx="9" formatCode="0.00">
                  <c:v>30.296000000000003</c:v>
                </c:pt>
                <c:pt idx="10" formatCode="0.00">
                  <c:v>31.282</c:v>
                </c:pt>
                <c:pt idx="11" formatCode="0.00">
                  <c:v>32.908000000000001</c:v>
                </c:pt>
                <c:pt idx="12" formatCode="0.00">
                  <c:v>33.315999999999995</c:v>
                </c:pt>
                <c:pt idx="13" formatCode="0.00">
                  <c:v>32.530000000000008</c:v>
                </c:pt>
                <c:pt idx="14" formatCode="0.00">
                  <c:v>31.179999999999996</c:v>
                </c:pt>
                <c:pt idx="15" formatCode="0.00">
                  <c:v>30.32</c:v>
                </c:pt>
                <c:pt idx="16" formatCode="0.00">
                  <c:v>29.088000000000001</c:v>
                </c:pt>
                <c:pt idx="17" formatCode="0.00">
                  <c:v>29.143999999999998</c:v>
                </c:pt>
                <c:pt idx="18" formatCode="0.00">
                  <c:v>28.936</c:v>
                </c:pt>
                <c:pt idx="19" formatCode="0.00">
                  <c:v>28.756</c:v>
                </c:pt>
                <c:pt idx="20" formatCode="0.00">
                  <c:v>28.99</c:v>
                </c:pt>
                <c:pt idx="21" formatCode="0.00">
                  <c:v>28.788</c:v>
                </c:pt>
                <c:pt idx="22" formatCode="0.00">
                  <c:v>28.653999999999996</c:v>
                </c:pt>
                <c:pt idx="23" formatCode="0.00">
                  <c:v>28.782</c:v>
                </c:pt>
                <c:pt idx="24" formatCode="0.00">
                  <c:v>28.583999999999996</c:v>
                </c:pt>
                <c:pt idx="25" formatCode="0.00">
                  <c:v>27.555999999999994</c:v>
                </c:pt>
                <c:pt idx="26" formatCode="0.00">
                  <c:v>26.386000000000003</c:v>
                </c:pt>
                <c:pt idx="27" formatCode="0.00">
                  <c:v>25.165999999999997</c:v>
                </c:pt>
                <c:pt idx="28" formatCode="0.00">
                  <c:v>23.966000000000001</c:v>
                </c:pt>
                <c:pt idx="29" formatCode="0.00">
                  <c:v>23.306000000000001</c:v>
                </c:pt>
                <c:pt idx="30" formatCode="0.00">
                  <c:v>23.560000000000002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36-4848-AA2B-7E24EC3FE616}"/>
            </c:ext>
          </c:extLst>
        </c:ser>
        <c:ser>
          <c:idx val="3"/>
          <c:order val="3"/>
          <c:tx>
            <c:strRef>
              <c:f>'TU11.1'!$L$2</c:f>
              <c:strCache>
                <c:ptCount val="1"/>
                <c:pt idx="0">
                  <c:v>7SMA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'TU11.1'!$L$3:$L$33</c:f>
              <c:numCache>
                <c:formatCode>General</c:formatCode>
                <c:ptCount val="31"/>
                <c:pt idx="7" formatCode="0.00">
                  <c:v>27.365714285714287</c:v>
                </c:pt>
                <c:pt idx="8" formatCode="0.00">
                  <c:v>28.24285714285714</c:v>
                </c:pt>
                <c:pt idx="9" formatCode="0.00">
                  <c:v>29.615714285714287</c:v>
                </c:pt>
                <c:pt idx="10" formatCode="0.00">
                  <c:v>30.45</c:v>
                </c:pt>
                <c:pt idx="11" formatCode="0.00">
                  <c:v>31.605714285714289</c:v>
                </c:pt>
                <c:pt idx="12" formatCode="0.00">
                  <c:v>31.708571428571425</c:v>
                </c:pt>
                <c:pt idx="13" formatCode="0.00">
                  <c:v>31.728571428571431</c:v>
                </c:pt>
                <c:pt idx="14" formatCode="0.00">
                  <c:v>31.939999999999998</c:v>
                </c:pt>
                <c:pt idx="15" formatCode="0.00">
                  <c:v>31.468571428571433</c:v>
                </c:pt>
                <c:pt idx="16" formatCode="0.00">
                  <c:v>30.74285714285714</c:v>
                </c:pt>
                <c:pt idx="17" formatCode="0.00">
                  <c:v>30.181428571428569</c:v>
                </c:pt>
                <c:pt idx="18" formatCode="0.00">
                  <c:v>28.891428571428573</c:v>
                </c:pt>
                <c:pt idx="19" formatCode="0.00">
                  <c:v>28.682857142857141</c:v>
                </c:pt>
                <c:pt idx="20" formatCode="0.00">
                  <c:v>28.94</c:v>
                </c:pt>
                <c:pt idx="21" formatCode="0.00">
                  <c:v>29.034285714285716</c:v>
                </c:pt>
                <c:pt idx="22" formatCode="0.00">
                  <c:v>28.991428571428571</c:v>
                </c:pt>
                <c:pt idx="23" formatCode="0.00">
                  <c:v>28.672857142857143</c:v>
                </c:pt>
                <c:pt idx="24" formatCode="0.00">
                  <c:v>28.282857142857143</c:v>
                </c:pt>
                <c:pt idx="25" formatCode="0.00">
                  <c:v>27.954285714285714</c:v>
                </c:pt>
                <c:pt idx="26" formatCode="0.00">
                  <c:v>27.341428571428569</c:v>
                </c:pt>
                <c:pt idx="27" formatCode="0.00">
                  <c:v>26.259999999999994</c:v>
                </c:pt>
                <c:pt idx="28" formatCode="0.00">
                  <c:v>25.228571428571431</c:v>
                </c:pt>
                <c:pt idx="29" formatCode="0.00">
                  <c:v>24.462857142857143</c:v>
                </c:pt>
                <c:pt idx="30" formatCode="0.00">
                  <c:v>24.224285714285713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36-4848-AA2B-7E24EC3FE616}"/>
            </c:ext>
          </c:extLst>
        </c:ser>
        <c:ser>
          <c:idx val="4"/>
          <c:order val="4"/>
          <c:tx>
            <c:strRef>
              <c:f>'TU11.1'!$M$2</c:f>
              <c:strCache>
                <c:ptCount val="1"/>
                <c:pt idx="0">
                  <c:v>9SMA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'TU11.1'!$M$3:$M$33</c:f>
              <c:numCache>
                <c:formatCode>General</c:formatCode>
                <c:ptCount val="31"/>
                <c:pt idx="9" formatCode="0.00">
                  <c:v>28.804444444444446</c:v>
                </c:pt>
                <c:pt idx="10" formatCode="0.00">
                  <c:v>29.597777777777779</c:v>
                </c:pt>
                <c:pt idx="11" formatCode="0.00">
                  <c:v>30.785555555555554</c:v>
                </c:pt>
                <c:pt idx="12" formatCode="0.00">
                  <c:v>30.966666666666665</c:v>
                </c:pt>
                <c:pt idx="13" formatCode="0.00">
                  <c:v>30.977777777777778</c:v>
                </c:pt>
                <c:pt idx="14" formatCode="0.00">
                  <c:v>30.995555555555555</c:v>
                </c:pt>
                <c:pt idx="15" formatCode="0.00">
                  <c:v>31.081111111111113</c:v>
                </c:pt>
                <c:pt idx="16" formatCode="0.00">
                  <c:v>31.431111111111111</c:v>
                </c:pt>
                <c:pt idx="17" formatCode="0.00">
                  <c:v>31.105555555555561</c:v>
                </c:pt>
                <c:pt idx="18" formatCode="0.00">
                  <c:v>30.222222222222221</c:v>
                </c:pt>
                <c:pt idx="19" formatCode="0.00">
                  <c:v>29.592222222222219</c:v>
                </c:pt>
                <c:pt idx="20" formatCode="0.00">
                  <c:v>28.904444444444444</c:v>
                </c:pt>
                <c:pt idx="21" formatCode="0.00">
                  <c:v>28.915555555555557</c:v>
                </c:pt>
                <c:pt idx="22" formatCode="0.00">
                  <c:v>28.952222222222229</c:v>
                </c:pt>
                <c:pt idx="23" formatCode="0.00">
                  <c:v>28.89</c:v>
                </c:pt>
                <c:pt idx="24" formatCode="0.00">
                  <c:v>28.62777777777778</c:v>
                </c:pt>
                <c:pt idx="25" formatCode="0.00">
                  <c:v>28.053333333333335</c:v>
                </c:pt>
                <c:pt idx="26" formatCode="0.00">
                  <c:v>27.383333333333333</c:v>
                </c:pt>
                <c:pt idx="27" formatCode="0.00">
                  <c:v>26.857777777777777</c:v>
                </c:pt>
                <c:pt idx="28" formatCode="0.00">
                  <c:v>26.228888888888889</c:v>
                </c:pt>
                <c:pt idx="29" formatCode="0.00">
                  <c:v>25.469999999999995</c:v>
                </c:pt>
                <c:pt idx="30" formatCode="0.00">
                  <c:v>25.148888888888891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36-4848-AA2B-7E24EC3FE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879088"/>
        <c:axId val="599879480"/>
      </c:lineChart>
      <c:catAx>
        <c:axId val="5998790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879480"/>
        <c:crosses val="autoZero"/>
        <c:auto val="1"/>
        <c:lblAlgn val="ctr"/>
        <c:lblOffset val="100"/>
        <c:noMultiLvlLbl val="0"/>
      </c:catAx>
      <c:valAx>
        <c:axId val="599879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87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'TU11.1'!$I$2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'TU11.1'!$I$3:$I$33</c:f>
              <c:numCache>
                <c:formatCode>General</c:formatCode>
                <c:ptCount val="31"/>
                <c:pt idx="0">
                  <c:v>26.21</c:v>
                </c:pt>
                <c:pt idx="1">
                  <c:v>25.72</c:v>
                </c:pt>
                <c:pt idx="2">
                  <c:v>27.51</c:v>
                </c:pt>
                <c:pt idx="3">
                  <c:v>28.32</c:v>
                </c:pt>
                <c:pt idx="4">
                  <c:v>28.42</c:v>
                </c:pt>
                <c:pt idx="5">
                  <c:v>28.28</c:v>
                </c:pt>
                <c:pt idx="6">
                  <c:v>27.1</c:v>
                </c:pt>
                <c:pt idx="7">
                  <c:v>32.35</c:v>
                </c:pt>
                <c:pt idx="8">
                  <c:v>35.33</c:v>
                </c:pt>
                <c:pt idx="9">
                  <c:v>33.35</c:v>
                </c:pt>
                <c:pt idx="10">
                  <c:v>36.409999999999997</c:v>
                </c:pt>
                <c:pt idx="11">
                  <c:v>29.14</c:v>
                </c:pt>
                <c:pt idx="12">
                  <c:v>28.42</c:v>
                </c:pt>
                <c:pt idx="13">
                  <c:v>28.58</c:v>
                </c:pt>
                <c:pt idx="14">
                  <c:v>29.05</c:v>
                </c:pt>
                <c:pt idx="15">
                  <c:v>30.25</c:v>
                </c:pt>
                <c:pt idx="16">
                  <c:v>29.42</c:v>
                </c:pt>
                <c:pt idx="17">
                  <c:v>27.38</c:v>
                </c:pt>
                <c:pt idx="18">
                  <c:v>27.68</c:v>
                </c:pt>
                <c:pt idx="19">
                  <c:v>30.22</c:v>
                </c:pt>
                <c:pt idx="20">
                  <c:v>29.24</c:v>
                </c:pt>
                <c:pt idx="21">
                  <c:v>28.75</c:v>
                </c:pt>
                <c:pt idx="22">
                  <c:v>28.02</c:v>
                </c:pt>
                <c:pt idx="23">
                  <c:v>26.69</c:v>
                </c:pt>
                <c:pt idx="24">
                  <c:v>25.08</c:v>
                </c:pt>
                <c:pt idx="25">
                  <c:v>23.39</c:v>
                </c:pt>
                <c:pt idx="26">
                  <c:v>22.65</c:v>
                </c:pt>
                <c:pt idx="27">
                  <c:v>22.02</c:v>
                </c:pt>
                <c:pt idx="28">
                  <c:v>23.39</c:v>
                </c:pt>
                <c:pt idx="29">
                  <c:v>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07-4C40-84D6-7C2D5DB08231}"/>
            </c:ext>
          </c:extLst>
        </c:ser>
        <c:ser>
          <c:idx val="1"/>
          <c:order val="1"/>
          <c:tx>
            <c:strRef>
              <c:f>'TU11.1'!$O$2</c:f>
              <c:strCache>
                <c:ptCount val="1"/>
                <c:pt idx="0">
                  <c:v>3DMA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'TU11.1'!$O$3:$O$33</c:f>
              <c:numCache>
                <c:formatCode>General</c:formatCode>
                <c:ptCount val="31"/>
                <c:pt idx="6" formatCode="0.00">
                  <c:v>27.248888888888889</c:v>
                </c:pt>
                <c:pt idx="7" formatCode="0.00">
                  <c:v>27.86888888888889</c:v>
                </c:pt>
                <c:pt idx="8" formatCode="0.00">
                  <c:v>28.11888888888889</c:v>
                </c:pt>
                <c:pt idx="9" formatCode="0.00">
                  <c:v>28.50555555555556</c:v>
                </c:pt>
                <c:pt idx="10" formatCode="0.00">
                  <c:v>29.590000000000003</c:v>
                </c:pt>
                <c:pt idx="11" formatCode="0.00">
                  <c:v>31.504444444444449</c:v>
                </c:pt>
                <c:pt idx="12" formatCode="0.00">
                  <c:v>33.433333333333337</c:v>
                </c:pt>
                <c:pt idx="13" formatCode="0.00">
                  <c:v>33.891111111111115</c:v>
                </c:pt>
                <c:pt idx="14" formatCode="0.00">
                  <c:v>33.106666666666669</c:v>
                </c:pt>
                <c:pt idx="15" formatCode="0.00">
                  <c:v>31.001111111111111</c:v>
                </c:pt>
                <c:pt idx="16" formatCode="0.00">
                  <c:v>29.573333333333334</c:v>
                </c:pt>
                <c:pt idx="17" formatCode="0.00">
                  <c:v>28.896666666666665</c:v>
                </c:pt>
                <c:pt idx="18" formatCode="0.00">
                  <c:v>29.183333333333334</c:v>
                </c:pt>
                <c:pt idx="19" formatCode="0.00">
                  <c:v>29.294444444444441</c:v>
                </c:pt>
                <c:pt idx="20" formatCode="0.00">
                  <c:v>28.916666666666668</c:v>
                </c:pt>
                <c:pt idx="21" formatCode="0.00">
                  <c:v>28.534444444444443</c:v>
                </c:pt>
                <c:pt idx="22" formatCode="0.00">
                  <c:v>28.544444444444441</c:v>
                </c:pt>
                <c:pt idx="23" formatCode="0.00">
                  <c:v>28.95888888888889</c:v>
                </c:pt>
                <c:pt idx="24" formatCode="0.00">
                  <c:v>29.040000000000003</c:v>
                </c:pt>
                <c:pt idx="25" formatCode="0.00">
                  <c:v>28.63111111111111</c:v>
                </c:pt>
                <c:pt idx="26" formatCode="0.00">
                  <c:v>27.695555555555554</c:v>
                </c:pt>
                <c:pt idx="27" formatCode="0.00">
                  <c:v>26.489999999999995</c:v>
                </c:pt>
                <c:pt idx="28" formatCode="0.00">
                  <c:v>25.118888888888886</c:v>
                </c:pt>
                <c:pt idx="29" formatCode="0.00">
                  <c:v>23.815555555555552</c:v>
                </c:pt>
                <c:pt idx="30" formatCode="0.00">
                  <c:v>23.026666666666667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07-4C40-84D6-7C2D5DB08231}"/>
            </c:ext>
          </c:extLst>
        </c:ser>
        <c:ser>
          <c:idx val="2"/>
          <c:order val="2"/>
          <c:tx>
            <c:strRef>
              <c:f>'TU11.1'!$P$2</c:f>
              <c:strCache>
                <c:ptCount val="1"/>
                <c:pt idx="0">
                  <c:v>5DMA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'TU11.1'!$P$3:$P$33</c:f>
              <c:numCache>
                <c:formatCode>General</c:formatCode>
                <c:ptCount val="31"/>
                <c:pt idx="10" formatCode="0.00">
                  <c:v>28.400399999999998</c:v>
                </c:pt>
                <c:pt idx="11" formatCode="0.00">
                  <c:v>29.209600000000002</c:v>
                </c:pt>
                <c:pt idx="12" formatCode="0.00">
                  <c:v>30.261199999999995</c:v>
                </c:pt>
                <c:pt idx="13" formatCode="0.00">
                  <c:v>31.339199999999998</c:v>
                </c:pt>
                <c:pt idx="14" formatCode="0.00">
                  <c:v>32.066400000000002</c:v>
                </c:pt>
                <c:pt idx="15" formatCode="0.00">
                  <c:v>32.243200000000002</c:v>
                </c:pt>
                <c:pt idx="16" formatCode="0.00">
                  <c:v>32.050799999999995</c:v>
                </c:pt>
                <c:pt idx="17" formatCode="0.00">
                  <c:v>31.286799999999999</c:v>
                </c:pt>
                <c:pt idx="18" formatCode="0.00">
                  <c:v>30.452400000000001</c:v>
                </c:pt>
                <c:pt idx="19" formatCode="0.00">
                  <c:v>29.733600000000003</c:v>
                </c:pt>
                <c:pt idx="20" formatCode="0.00">
                  <c:v>29.248799999999999</c:v>
                </c:pt>
                <c:pt idx="21" formatCode="0.00">
                  <c:v>28.982800000000005</c:v>
                </c:pt>
                <c:pt idx="22" formatCode="0.00">
                  <c:v>28.922800000000002</c:v>
                </c:pt>
                <c:pt idx="23" formatCode="0.00">
                  <c:v>28.8248</c:v>
                </c:pt>
                <c:pt idx="24" formatCode="0.00">
                  <c:v>28.794</c:v>
                </c:pt>
                <c:pt idx="25" formatCode="0.00">
                  <c:v>28.759599999999995</c:v>
                </c:pt>
                <c:pt idx="26" formatCode="0.00">
                  <c:v>28.472799999999996</c:v>
                </c:pt>
                <c:pt idx="27" formatCode="0.00">
                  <c:v>27.992399999999996</c:v>
                </c:pt>
                <c:pt idx="28" formatCode="0.00">
                  <c:v>27.294799999999999</c:v>
                </c:pt>
                <c:pt idx="29" formatCode="0.00">
                  <c:v>26.331599999999998</c:v>
                </c:pt>
                <c:pt idx="30" formatCode="0.00">
                  <c:v>25.275999999999996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07-4C40-84D6-7C2D5DB08231}"/>
            </c:ext>
          </c:extLst>
        </c:ser>
        <c:ser>
          <c:idx val="3"/>
          <c:order val="3"/>
          <c:tx>
            <c:strRef>
              <c:f>'TU11.1'!$Q$2</c:f>
              <c:strCache>
                <c:ptCount val="1"/>
                <c:pt idx="0">
                  <c:v>7DMA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'TU11.1'!$Q$3:$Q$33</c:f>
              <c:numCache>
                <c:formatCode>General</c:formatCode>
                <c:ptCount val="31"/>
                <c:pt idx="14" formatCode="0.00">
                  <c:v>30.102448979591834</c:v>
                </c:pt>
                <c:pt idx="15" formatCode="0.00">
                  <c:v>30.755918367346936</c:v>
                </c:pt>
                <c:pt idx="16" formatCode="0.00">
                  <c:v>31.216734693877552</c:v>
                </c:pt>
                <c:pt idx="17" formatCode="0.00">
                  <c:v>31.377755102040815</c:v>
                </c:pt>
                <c:pt idx="18" formatCode="0.00">
                  <c:v>31.339387755102042</c:v>
                </c:pt>
                <c:pt idx="19" formatCode="0.00">
                  <c:v>30.951632653061228</c:v>
                </c:pt>
                <c:pt idx="20" formatCode="0.00">
                  <c:v>30.519387755102038</c:v>
                </c:pt>
                <c:pt idx="21" formatCode="0.00">
                  <c:v>30.121020408163265</c:v>
                </c:pt>
                <c:pt idx="22" formatCode="0.00">
                  <c:v>29.705918367346936</c:v>
                </c:pt>
                <c:pt idx="23" formatCode="0.00">
                  <c:v>29.352040816326532</c:v>
                </c:pt>
                <c:pt idx="24" formatCode="0.00">
                  <c:v>29.056326530612246</c:v>
                </c:pt>
                <c:pt idx="25" formatCode="0.00">
                  <c:v>28.78510204081633</c:v>
                </c:pt>
                <c:pt idx="26" formatCode="0.00">
                  <c:v>28.651224489795919</c:v>
                </c:pt>
                <c:pt idx="27" formatCode="0.00">
                  <c:v>28.459591836734692</c:v>
                </c:pt>
                <c:pt idx="28" formatCode="0.00">
                  <c:v>28.076734693877547</c:v>
                </c:pt>
                <c:pt idx="29" formatCode="0.00">
                  <c:v>27.533061224489792</c:v>
                </c:pt>
                <c:pt idx="30" formatCode="0.00">
                  <c:v>26.886122448979588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07-4C40-84D6-7C2D5DB08231}"/>
            </c:ext>
          </c:extLst>
        </c:ser>
        <c:ser>
          <c:idx val="4"/>
          <c:order val="4"/>
          <c:tx>
            <c:strRef>
              <c:f>'TU11.1'!$R$2</c:f>
              <c:strCache>
                <c:ptCount val="1"/>
                <c:pt idx="0">
                  <c:v>9DMA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'TU11.1'!$R$3:$R$33</c:f>
              <c:numCache>
                <c:formatCode>General</c:formatCode>
                <c:ptCount val="31"/>
                <c:pt idx="18" formatCode="0.00">
                  <c:v>30.638395061728399</c:v>
                </c:pt>
                <c:pt idx="19" formatCode="0.00">
                  <c:v>30.795925925925921</c:v>
                </c:pt>
                <c:pt idx="20" formatCode="0.00">
                  <c:v>30.795308641975307</c:v>
                </c:pt>
                <c:pt idx="21" formatCode="0.00">
                  <c:v>30.586296296296293</c:v>
                </c:pt>
                <c:pt idx="22" formatCode="0.00">
                  <c:v>30.358395061728395</c:v>
                </c:pt>
                <c:pt idx="23" formatCode="0.00">
                  <c:v>30.13333333333334</c:v>
                </c:pt>
                <c:pt idx="24" formatCode="0.00">
                  <c:v>29.899382716049381</c:v>
                </c:pt>
                <c:pt idx="25" formatCode="0.00">
                  <c:v>29.626790123456789</c:v>
                </c:pt>
                <c:pt idx="26" formatCode="0.00">
                  <c:v>29.251481481481488</c:v>
                </c:pt>
                <c:pt idx="27" formatCode="0.00">
                  <c:v>28.837901234567905</c:v>
                </c:pt>
                <c:pt idx="28" formatCode="0.00">
                  <c:v>28.464074074074077</c:v>
                </c:pt>
                <c:pt idx="29" formatCode="0.00">
                  <c:v>28.090370370370373</c:v>
                </c:pt>
                <c:pt idx="30" formatCode="0.00">
                  <c:v>27.708765432098765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607-4C40-84D6-7C2D5DB08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880264"/>
        <c:axId val="601052400"/>
      </c:lineChart>
      <c:catAx>
        <c:axId val="5998802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052400"/>
        <c:crosses val="autoZero"/>
        <c:auto val="1"/>
        <c:lblAlgn val="ctr"/>
        <c:lblOffset val="100"/>
        <c:noMultiLvlLbl val="0"/>
      </c:catAx>
      <c:valAx>
        <c:axId val="60105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880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'TU11.2'!$C$3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'TU11.2'!$C$4:$C$34</c:f>
              <c:numCache>
                <c:formatCode>General</c:formatCode>
                <c:ptCount val="31"/>
                <c:pt idx="0">
                  <c:v>26.21</c:v>
                </c:pt>
                <c:pt idx="1">
                  <c:v>25.72</c:v>
                </c:pt>
                <c:pt idx="2">
                  <c:v>27.51</c:v>
                </c:pt>
                <c:pt idx="3">
                  <c:v>28.32</c:v>
                </c:pt>
                <c:pt idx="4">
                  <c:v>28.42</c:v>
                </c:pt>
                <c:pt idx="5">
                  <c:v>28.28</c:v>
                </c:pt>
                <c:pt idx="6">
                  <c:v>27.1</c:v>
                </c:pt>
                <c:pt idx="7">
                  <c:v>32.35</c:v>
                </c:pt>
                <c:pt idx="8">
                  <c:v>35.33</c:v>
                </c:pt>
                <c:pt idx="9">
                  <c:v>33.35</c:v>
                </c:pt>
                <c:pt idx="10">
                  <c:v>36.409999999999997</c:v>
                </c:pt>
                <c:pt idx="11">
                  <c:v>29.14</c:v>
                </c:pt>
                <c:pt idx="12">
                  <c:v>28.42</c:v>
                </c:pt>
                <c:pt idx="13">
                  <c:v>28.58</c:v>
                </c:pt>
                <c:pt idx="14">
                  <c:v>29.05</c:v>
                </c:pt>
                <c:pt idx="15">
                  <c:v>30.25</c:v>
                </c:pt>
                <c:pt idx="16">
                  <c:v>29.42</c:v>
                </c:pt>
                <c:pt idx="17">
                  <c:v>27.38</c:v>
                </c:pt>
                <c:pt idx="18">
                  <c:v>27.68</c:v>
                </c:pt>
                <c:pt idx="19">
                  <c:v>30.22</c:v>
                </c:pt>
                <c:pt idx="20">
                  <c:v>29.24</c:v>
                </c:pt>
                <c:pt idx="21">
                  <c:v>28.75</c:v>
                </c:pt>
                <c:pt idx="22">
                  <c:v>28.02</c:v>
                </c:pt>
                <c:pt idx="23">
                  <c:v>26.69</c:v>
                </c:pt>
                <c:pt idx="24">
                  <c:v>25.08</c:v>
                </c:pt>
                <c:pt idx="25">
                  <c:v>23.39</c:v>
                </c:pt>
                <c:pt idx="26">
                  <c:v>22.65</c:v>
                </c:pt>
                <c:pt idx="27">
                  <c:v>22.02</c:v>
                </c:pt>
                <c:pt idx="28">
                  <c:v>23.39</c:v>
                </c:pt>
                <c:pt idx="29">
                  <c:v>26.35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7-4367-99C6-FA14F15B9E7E}"/>
            </c:ext>
          </c:extLst>
        </c:ser>
        <c:ser>
          <c:idx val="1"/>
          <c:order val="1"/>
          <c:tx>
            <c:strRef>
              <c:f>'TU11.2'!$D$3</c:f>
              <c:strCache>
                <c:ptCount val="1"/>
                <c:pt idx="0">
                  <c:v>SES 0.1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'TU11.2'!$D$4:$D$34</c:f>
              <c:numCache>
                <c:formatCode>0.00</c:formatCode>
                <c:ptCount val="31"/>
                <c:pt idx="0">
                  <c:v>26.21</c:v>
                </c:pt>
                <c:pt idx="1">
                  <c:v>26.21</c:v>
                </c:pt>
                <c:pt idx="2">
                  <c:v>26.161000000000001</c:v>
                </c:pt>
                <c:pt idx="3">
                  <c:v>26.295900000000003</c:v>
                </c:pt>
                <c:pt idx="4">
                  <c:v>26.498310000000004</c:v>
                </c:pt>
                <c:pt idx="5">
                  <c:v>26.690479000000003</c:v>
                </c:pt>
                <c:pt idx="6">
                  <c:v>26.849431100000004</c:v>
                </c:pt>
                <c:pt idx="7">
                  <c:v>26.874487990000002</c:v>
                </c:pt>
                <c:pt idx="8">
                  <c:v>27.422039191000003</c:v>
                </c:pt>
                <c:pt idx="9">
                  <c:v>28.212835271900001</c:v>
                </c:pt>
                <c:pt idx="10">
                  <c:v>28.726551744710001</c:v>
                </c:pt>
                <c:pt idx="11">
                  <c:v>29.494896570239</c:v>
                </c:pt>
                <c:pt idx="12">
                  <c:v>29.459406913215101</c:v>
                </c:pt>
                <c:pt idx="13">
                  <c:v>29.355466221893593</c:v>
                </c:pt>
                <c:pt idx="14">
                  <c:v>29.277919599704234</c:v>
                </c:pt>
                <c:pt idx="15">
                  <c:v>29.255127639733811</c:v>
                </c:pt>
                <c:pt idx="16">
                  <c:v>29.354614875760429</c:v>
                </c:pt>
                <c:pt idx="17">
                  <c:v>29.361153388184388</c:v>
                </c:pt>
                <c:pt idx="18">
                  <c:v>29.163038049365948</c:v>
                </c:pt>
                <c:pt idx="19">
                  <c:v>29.014734244429352</c:v>
                </c:pt>
                <c:pt idx="20">
                  <c:v>29.135260819986417</c:v>
                </c:pt>
                <c:pt idx="21">
                  <c:v>29.145734737987777</c:v>
                </c:pt>
                <c:pt idx="22">
                  <c:v>29.106161264188998</c:v>
                </c:pt>
                <c:pt idx="23">
                  <c:v>28.997545137770096</c:v>
                </c:pt>
                <c:pt idx="24">
                  <c:v>28.766790623993089</c:v>
                </c:pt>
                <c:pt idx="25">
                  <c:v>28.39811156159378</c:v>
                </c:pt>
                <c:pt idx="26">
                  <c:v>27.8973004054344</c:v>
                </c:pt>
                <c:pt idx="27">
                  <c:v>27.372570364890962</c:v>
                </c:pt>
                <c:pt idx="28">
                  <c:v>26.837313328401866</c:v>
                </c:pt>
                <c:pt idx="29">
                  <c:v>26.492581995561679</c:v>
                </c:pt>
                <c:pt idx="30">
                  <c:v>26.478323796005512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77-4367-99C6-FA14F15B9E7E}"/>
            </c:ext>
          </c:extLst>
        </c:ser>
        <c:ser>
          <c:idx val="2"/>
          <c:order val="2"/>
          <c:tx>
            <c:strRef>
              <c:f>'TU11.2'!$E$3</c:f>
              <c:strCache>
                <c:ptCount val="1"/>
                <c:pt idx="0">
                  <c:v>SES 0.3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'TU11.2'!$E$4:$E$34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26.062999999999999</c:v>
                </c:pt>
                <c:pt idx="3">
                  <c:v>26.4971</c:v>
                </c:pt>
                <c:pt idx="4">
                  <c:v>27.043970000000002</c:v>
                </c:pt>
                <c:pt idx="5">
                  <c:v>27.456779000000001</c:v>
                </c:pt>
                <c:pt idx="6">
                  <c:v>27.703745300000001</c:v>
                </c:pt>
                <c:pt idx="7">
                  <c:v>27.522621710000003</c:v>
                </c:pt>
                <c:pt idx="8">
                  <c:v>28.970835197000003</c:v>
                </c:pt>
                <c:pt idx="9">
                  <c:v>30.878584637900001</c:v>
                </c:pt>
                <c:pt idx="10">
                  <c:v>31.620009246530003</c:v>
                </c:pt>
                <c:pt idx="11">
                  <c:v>33.057006472571004</c:v>
                </c:pt>
                <c:pt idx="12">
                  <c:v>31.881904530799702</c:v>
                </c:pt>
                <c:pt idx="13">
                  <c:v>30.843333171559792</c:v>
                </c:pt>
                <c:pt idx="14">
                  <c:v>30.164333220091855</c:v>
                </c:pt>
                <c:pt idx="15">
                  <c:v>29.830033254064297</c:v>
                </c:pt>
                <c:pt idx="16">
                  <c:v>29.956023277845009</c:v>
                </c:pt>
                <c:pt idx="17">
                  <c:v>29.795216294491507</c:v>
                </c:pt>
                <c:pt idx="18">
                  <c:v>29.070651406144055</c:v>
                </c:pt>
                <c:pt idx="19">
                  <c:v>28.653455984300837</c:v>
                </c:pt>
                <c:pt idx="20">
                  <c:v>29.123419189010587</c:v>
                </c:pt>
                <c:pt idx="21">
                  <c:v>29.15839343230741</c:v>
                </c:pt>
                <c:pt idx="22">
                  <c:v>29.035875402615186</c:v>
                </c:pt>
                <c:pt idx="23">
                  <c:v>28.731112781830632</c:v>
                </c:pt>
                <c:pt idx="24">
                  <c:v>28.118778947281442</c:v>
                </c:pt>
                <c:pt idx="25">
                  <c:v>27.207145263097008</c:v>
                </c:pt>
                <c:pt idx="26">
                  <c:v>26.062001684167907</c:v>
                </c:pt>
                <c:pt idx="27">
                  <c:v>25.038401178917535</c:v>
                </c:pt>
                <c:pt idx="28">
                  <c:v>24.132880825242275</c:v>
                </c:pt>
                <c:pt idx="29">
                  <c:v>23.910016577669591</c:v>
                </c:pt>
                <c:pt idx="30">
                  <c:v>24.642011604368715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77-4367-99C6-FA14F15B9E7E}"/>
            </c:ext>
          </c:extLst>
        </c:ser>
        <c:ser>
          <c:idx val="3"/>
          <c:order val="3"/>
          <c:tx>
            <c:strRef>
              <c:f>'TU11.2'!$F$3</c:f>
              <c:strCache>
                <c:ptCount val="1"/>
                <c:pt idx="0">
                  <c:v>SES 0.5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'TU11.2'!$F$4:$F$34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25.965</c:v>
                </c:pt>
                <c:pt idx="3">
                  <c:v>26.737500000000001</c:v>
                </c:pt>
                <c:pt idx="4">
                  <c:v>27.528750000000002</c:v>
                </c:pt>
                <c:pt idx="5">
                  <c:v>27.974375000000002</c:v>
                </c:pt>
                <c:pt idx="6">
                  <c:v>28.127187500000002</c:v>
                </c:pt>
                <c:pt idx="7">
                  <c:v>27.61359375</c:v>
                </c:pt>
                <c:pt idx="8">
                  <c:v>29.981796875000001</c:v>
                </c:pt>
                <c:pt idx="9">
                  <c:v>32.655898437499999</c:v>
                </c:pt>
                <c:pt idx="10">
                  <c:v>33.002949218750004</c:v>
                </c:pt>
                <c:pt idx="11">
                  <c:v>34.706474609375</c:v>
                </c:pt>
                <c:pt idx="12">
                  <c:v>31.9232373046875</c:v>
                </c:pt>
                <c:pt idx="13">
                  <c:v>30.171618652343753</c:v>
                </c:pt>
                <c:pt idx="14">
                  <c:v>29.375809326171876</c:v>
                </c:pt>
                <c:pt idx="15">
                  <c:v>29.212904663085936</c:v>
                </c:pt>
                <c:pt idx="16">
                  <c:v>29.731452331542968</c:v>
                </c:pt>
                <c:pt idx="17">
                  <c:v>29.575726165771485</c:v>
                </c:pt>
                <c:pt idx="18">
                  <c:v>28.47786308288574</c:v>
                </c:pt>
                <c:pt idx="19">
                  <c:v>28.07893154144287</c:v>
                </c:pt>
                <c:pt idx="20">
                  <c:v>29.149465770721434</c:v>
                </c:pt>
                <c:pt idx="21">
                  <c:v>29.194732885360715</c:v>
                </c:pt>
                <c:pt idx="22">
                  <c:v>28.972366442680357</c:v>
                </c:pt>
                <c:pt idx="23">
                  <c:v>28.496183221340178</c:v>
                </c:pt>
                <c:pt idx="24">
                  <c:v>27.59309161067009</c:v>
                </c:pt>
                <c:pt idx="25">
                  <c:v>26.336545805335042</c:v>
                </c:pt>
                <c:pt idx="26">
                  <c:v>24.863272902667521</c:v>
                </c:pt>
                <c:pt idx="27">
                  <c:v>23.756636451333762</c:v>
                </c:pt>
                <c:pt idx="28">
                  <c:v>22.888318225666879</c:v>
                </c:pt>
                <c:pt idx="29">
                  <c:v>23.13915911283344</c:v>
                </c:pt>
                <c:pt idx="30">
                  <c:v>24.744579556416721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77-4367-99C6-FA14F15B9E7E}"/>
            </c:ext>
          </c:extLst>
        </c:ser>
        <c:ser>
          <c:idx val="4"/>
          <c:order val="4"/>
          <c:tx>
            <c:strRef>
              <c:f>'TU11.2'!$G$3</c:f>
              <c:strCache>
                <c:ptCount val="1"/>
                <c:pt idx="0">
                  <c:v>SES 0.9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'TU11.2'!$G$4:$G$34</c:f>
              <c:numCache>
                <c:formatCode>0.00</c:formatCode>
                <c:ptCount val="31"/>
                <c:pt idx="0" formatCode="General">
                  <c:v>26.21</c:v>
                </c:pt>
                <c:pt idx="1">
                  <c:v>26.21</c:v>
                </c:pt>
                <c:pt idx="2">
                  <c:v>25.768999999999998</c:v>
                </c:pt>
                <c:pt idx="3">
                  <c:v>27.335900000000002</c:v>
                </c:pt>
                <c:pt idx="4">
                  <c:v>28.221589999999999</c:v>
                </c:pt>
                <c:pt idx="5">
                  <c:v>28.400159000000002</c:v>
                </c:pt>
                <c:pt idx="6">
                  <c:v>28.292015900000003</c:v>
                </c:pt>
                <c:pt idx="7">
                  <c:v>27.219201590000001</c:v>
                </c:pt>
                <c:pt idx="8">
                  <c:v>31.836920159000002</c:v>
                </c:pt>
                <c:pt idx="9">
                  <c:v>34.980692015899997</c:v>
                </c:pt>
                <c:pt idx="10">
                  <c:v>33.51306920159</c:v>
                </c:pt>
                <c:pt idx="11">
                  <c:v>36.120306920158995</c:v>
                </c:pt>
                <c:pt idx="12">
                  <c:v>29.838030692015899</c:v>
                </c:pt>
                <c:pt idx="13">
                  <c:v>28.561803069201591</c:v>
                </c:pt>
                <c:pt idx="14">
                  <c:v>28.578180306920157</c:v>
                </c:pt>
                <c:pt idx="15">
                  <c:v>29.002818030692016</c:v>
                </c:pt>
                <c:pt idx="16">
                  <c:v>30.1252818030692</c:v>
                </c:pt>
                <c:pt idx="17">
                  <c:v>29.490528180306921</c:v>
                </c:pt>
                <c:pt idx="18">
                  <c:v>27.59105281803069</c:v>
                </c:pt>
                <c:pt idx="19">
                  <c:v>27.671105281803069</c:v>
                </c:pt>
                <c:pt idx="20">
                  <c:v>29.965110528180304</c:v>
                </c:pt>
                <c:pt idx="21">
                  <c:v>29.312511052818028</c:v>
                </c:pt>
                <c:pt idx="22">
                  <c:v>28.806251105281802</c:v>
                </c:pt>
                <c:pt idx="23">
                  <c:v>28.098625110528179</c:v>
                </c:pt>
                <c:pt idx="24">
                  <c:v>26.830862511052818</c:v>
                </c:pt>
                <c:pt idx="25">
                  <c:v>25.255086251105279</c:v>
                </c:pt>
                <c:pt idx="26">
                  <c:v>23.576508625110527</c:v>
                </c:pt>
                <c:pt idx="27">
                  <c:v>22.742650862511052</c:v>
                </c:pt>
                <c:pt idx="28">
                  <c:v>22.092265086251103</c:v>
                </c:pt>
                <c:pt idx="29">
                  <c:v>23.260226508625109</c:v>
                </c:pt>
                <c:pt idx="30">
                  <c:v>26.041022650862512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77-4367-99C6-FA14F15B9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053184"/>
        <c:axId val="601053576"/>
      </c:lineChart>
      <c:catAx>
        <c:axId val="6010531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053576"/>
        <c:crosses val="autoZero"/>
        <c:auto val="1"/>
        <c:lblAlgn val="ctr"/>
        <c:lblOffset val="100"/>
        <c:noMultiLvlLbl val="0"/>
      </c:catAx>
      <c:valAx>
        <c:axId val="60105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05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72390</xdr:colOff>
      <xdr:row>12</xdr:row>
      <xdr:rowOff>0</xdr:rowOff>
    </xdr:from>
    <xdr:to>
      <xdr:col>9</xdr:col>
      <xdr:colOff>297180</xdr:colOff>
      <xdr:row>14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04A878-ED66-4806-81C2-219EE645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6240" y="2324100"/>
          <a:ext cx="140589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504825</xdr:colOff>
      <xdr:row>16</xdr:row>
      <xdr:rowOff>7620</xdr:rowOff>
    </xdr:from>
    <xdr:to>
      <xdr:col>9</xdr:col>
      <xdr:colOff>443865</xdr:colOff>
      <xdr:row>18</xdr:row>
      <xdr:rowOff>137160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AF2FFD1-ADE6-4EAB-8FAC-BC02FA0CA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3131820"/>
          <a:ext cx="1710690" cy="510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53340</xdr:colOff>
      <xdr:row>7</xdr:row>
      <xdr:rowOff>121920</xdr:rowOff>
    </xdr:from>
    <xdr:to>
      <xdr:col>4</xdr:col>
      <xdr:colOff>121920</xdr:colOff>
      <xdr:row>10</xdr:row>
      <xdr:rowOff>68580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ABE3E36-F06E-4409-8BB0-6739265F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" y="1402080"/>
          <a:ext cx="189738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167392</xdr:colOff>
      <xdr:row>0</xdr:row>
      <xdr:rowOff>97339</xdr:rowOff>
    </xdr:from>
    <xdr:to>
      <xdr:col>32</xdr:col>
      <xdr:colOff>472193</xdr:colOff>
      <xdr:row>15</xdr:row>
      <xdr:rowOff>97339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C2D60C-F2D1-471E-B978-4B4F786288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221226</xdr:colOff>
      <xdr:row>9</xdr:row>
      <xdr:rowOff>61451</xdr:rowOff>
    </xdr:from>
    <xdr:to>
      <xdr:col>34</xdr:col>
      <xdr:colOff>526026</xdr:colOff>
      <xdr:row>24</xdr:row>
      <xdr:rowOff>61452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E3AF41A-5349-4A6C-80A5-F258DB9F2F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245805</xdr:colOff>
      <xdr:row>17</xdr:row>
      <xdr:rowOff>1</xdr:rowOff>
    </xdr:from>
    <xdr:to>
      <xdr:col>32</xdr:col>
      <xdr:colOff>550606</xdr:colOff>
      <xdr:row>32</xdr:row>
      <xdr:rowOff>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F16ECA-5E43-441F-B650-A8CCEC3D6B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589935</xdr:colOff>
      <xdr:row>26</xdr:row>
      <xdr:rowOff>98323</xdr:rowOff>
    </xdr:from>
    <xdr:to>
      <xdr:col>35</xdr:col>
      <xdr:colOff>280219</xdr:colOff>
      <xdr:row>41</xdr:row>
      <xdr:rowOff>98323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2B52324-A858-4AE1-8140-7777E7CB7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270386</xdr:colOff>
      <xdr:row>36</xdr:row>
      <xdr:rowOff>73742</xdr:rowOff>
    </xdr:from>
    <xdr:to>
      <xdr:col>32</xdr:col>
      <xdr:colOff>575187</xdr:colOff>
      <xdr:row>51</xdr:row>
      <xdr:rowOff>73741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BD190C-0E59-4BDA-8A92-49CD7717F0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165920</xdr:colOff>
      <xdr:row>14</xdr:row>
      <xdr:rowOff>17206</xdr:rowOff>
    </xdr:from>
    <xdr:to>
      <xdr:col>22</xdr:col>
      <xdr:colOff>694404</xdr:colOff>
      <xdr:row>28</xdr:row>
      <xdr:rowOff>179439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E63472D-B956-4933-B697-7AA4BF4438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276224</xdr:colOff>
      <xdr:row>25</xdr:row>
      <xdr:rowOff>161924</xdr:rowOff>
    </xdr:from>
    <xdr:to>
      <xdr:col>14</xdr:col>
      <xdr:colOff>790574</xdr:colOff>
      <xdr:row>44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AFF23F-5955-4035-AC60-0E8A5683D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276224</xdr:colOff>
      <xdr:row>25</xdr:row>
      <xdr:rowOff>161924</xdr:rowOff>
    </xdr:from>
    <xdr:to>
      <xdr:col>14</xdr:col>
      <xdr:colOff>790574</xdr:colOff>
      <xdr:row>44</xdr:row>
      <xdr:rowOff>171449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C533AA0-B6CD-4232-B6C2-8C82EADA0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676275</xdr:colOff>
      <xdr:row>24</xdr:row>
      <xdr:rowOff>152400</xdr:rowOff>
    </xdr:from>
    <xdr:to>
      <xdr:col>24</xdr:col>
      <xdr:colOff>28575</xdr:colOff>
      <xdr:row>43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26DC2BA-3464-4552-A449-88D515CE98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40005</xdr:colOff>
      <xdr:row>1</xdr:row>
      <xdr:rowOff>186689</xdr:rowOff>
    </xdr:from>
    <xdr:to>
      <xdr:col>24</xdr:col>
      <xdr:colOff>28575</xdr:colOff>
      <xdr:row>24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4A7170-8A3E-4102-B337-A6D03CF39C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</xdr:colOff>
      <xdr:row>2</xdr:row>
      <xdr:rowOff>3809</xdr:rowOff>
    </xdr:from>
    <xdr:to>
      <xdr:col>21</xdr:col>
      <xdr:colOff>561975</xdr:colOff>
      <xdr:row>21</xdr:row>
      <xdr:rowOff>180974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37F2ED-9835-4E30-A05B-C624C919E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588645</xdr:colOff>
      <xdr:row>1</xdr:row>
      <xdr:rowOff>177164</xdr:rowOff>
    </xdr:from>
    <xdr:to>
      <xdr:col>25</xdr:col>
      <xdr:colOff>581025</xdr:colOff>
      <xdr:row>28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4F0427-F6E8-434E-BD0C-10B63F5EFF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381000</xdr:colOff>
      <xdr:row>7</xdr:row>
      <xdr:rowOff>133350</xdr:rowOff>
    </xdr:from>
    <xdr:to>
      <xdr:col>27</xdr:col>
      <xdr:colOff>76200</xdr:colOff>
      <xdr:row>22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712CA9-EE68-4D09-8A32-A7EDF7A44C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464820</xdr:colOff>
      <xdr:row>22</xdr:row>
      <xdr:rowOff>156210</xdr:rowOff>
    </xdr:from>
    <xdr:to>
      <xdr:col>27</xdr:col>
      <xdr:colOff>160020</xdr:colOff>
      <xdr:row>38</xdr:row>
      <xdr:rowOff>64770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27EDD64-D752-424E-8322-E841859EB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373380</xdr:colOff>
      <xdr:row>1</xdr:row>
      <xdr:rowOff>118110</xdr:rowOff>
    </xdr:from>
    <xdr:to>
      <xdr:col>20</xdr:col>
      <xdr:colOff>68580</xdr:colOff>
      <xdr:row>16</xdr:row>
      <xdr:rowOff>148590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304D4E-F8BB-4AD4-B463-ACCFB7C34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426720</xdr:colOff>
      <xdr:row>17</xdr:row>
      <xdr:rowOff>80010</xdr:rowOff>
    </xdr:from>
    <xdr:to>
      <xdr:col>20</xdr:col>
      <xdr:colOff>121920</xdr:colOff>
      <xdr:row>32</xdr:row>
      <xdr:rowOff>80010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68D07B0-FF49-4389-BBD7-9C97A6980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371475</xdr:colOff>
      <xdr:row>7</xdr:row>
      <xdr:rowOff>19050</xdr:rowOff>
    </xdr:from>
    <xdr:to>
      <xdr:col>24</xdr:col>
      <xdr:colOff>219075</xdr:colOff>
      <xdr:row>21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6DF5A5-0B73-414A-A0B8-914A1209AF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7"/>
  <sheetViews>
    <sheetView tabSelected="1" workbookViewId="0">
      <selection activeCell="A2" sqref="A2"/>
    </sheetView>
  </sheetViews>
  <sheetFormatPr defaultColWidth="8.85546875" defaultRowHeight="15" x14ac:dyDescent="0.25"/>
  <cols>
    <col min="1" max="16384" width="8.85546875" style="1"/>
  </cols>
  <sheetData>
    <row r="1" spans="1:2" x14ac:dyDescent="0.25">
      <c r="A1" s="138" t="s">
        <v>152</v>
      </c>
      <c r="B1" s="1" t="s">
        <v>134</v>
      </c>
    </row>
    <row r="2" spans="1:2" x14ac:dyDescent="0.25">
      <c r="B2" s="1" t="s">
        <v>135</v>
      </c>
    </row>
    <row r="4" spans="1:2" x14ac:dyDescent="0.25">
      <c r="A4" s="138" t="s">
        <v>153</v>
      </c>
      <c r="B4" s="1" t="s">
        <v>136</v>
      </c>
    </row>
    <row r="5" spans="1:2" x14ac:dyDescent="0.25">
      <c r="B5" s="1" t="s">
        <v>137</v>
      </c>
    </row>
    <row r="6" spans="1:2" x14ac:dyDescent="0.25">
      <c r="B6" s="1" t="s">
        <v>138</v>
      </c>
    </row>
    <row r="8" spans="1:2" x14ac:dyDescent="0.25">
      <c r="A8" s="138" t="s">
        <v>154</v>
      </c>
      <c r="B8" s="1" t="s">
        <v>31</v>
      </c>
    </row>
    <row r="9" spans="1:2" x14ac:dyDescent="0.25">
      <c r="B9" s="1" t="s">
        <v>32</v>
      </c>
    </row>
    <row r="11" spans="1:2" x14ac:dyDescent="0.25">
      <c r="A11" s="138" t="s">
        <v>155</v>
      </c>
      <c r="B11" s="1" t="s">
        <v>139</v>
      </c>
    </row>
    <row r="13" spans="1:2" x14ac:dyDescent="0.25">
      <c r="A13" s="138" t="s">
        <v>156</v>
      </c>
      <c r="B13" s="1" t="s">
        <v>33</v>
      </c>
    </row>
    <row r="14" spans="1:2" x14ac:dyDescent="0.25">
      <c r="B14" s="1" t="s">
        <v>34</v>
      </c>
    </row>
    <row r="15" spans="1:2" x14ac:dyDescent="0.25">
      <c r="B15" s="1" t="s">
        <v>140</v>
      </c>
    </row>
    <row r="16" spans="1:2" x14ac:dyDescent="0.25">
      <c r="B16" s="1" t="s">
        <v>141</v>
      </c>
    </row>
    <row r="17" spans="2:2" x14ac:dyDescent="0.25">
      <c r="B17" s="1" t="s">
        <v>142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L34"/>
  <sheetViews>
    <sheetView workbookViewId="0">
      <selection activeCell="A2" sqref="A2"/>
    </sheetView>
  </sheetViews>
  <sheetFormatPr defaultColWidth="8.85546875" defaultRowHeight="15" x14ac:dyDescent="0.25"/>
  <cols>
    <col min="1" max="16384" width="8.85546875" style="7"/>
  </cols>
  <sheetData>
    <row r="1" spans="1:12" x14ac:dyDescent="0.25">
      <c r="A1" s="14" t="s">
        <v>173</v>
      </c>
      <c r="D1" s="7" t="s">
        <v>149</v>
      </c>
      <c r="I1" s="7" t="s">
        <v>150</v>
      </c>
    </row>
    <row r="2" spans="1:12" x14ac:dyDescent="0.25">
      <c r="B2" s="95"/>
      <c r="C2" s="95"/>
      <c r="D2" s="131">
        <v>0.1</v>
      </c>
      <c r="E2" s="131">
        <v>0.3</v>
      </c>
      <c r="F2" s="131">
        <v>0.5</v>
      </c>
      <c r="G2" s="131">
        <v>0.9</v>
      </c>
      <c r="H2" s="131" t="s">
        <v>99</v>
      </c>
      <c r="I2" s="131">
        <v>0.1</v>
      </c>
      <c r="J2" s="131">
        <v>0.3</v>
      </c>
      <c r="K2" s="131">
        <v>0.5</v>
      </c>
      <c r="L2" s="131">
        <v>0.9</v>
      </c>
    </row>
    <row r="3" spans="1:12" x14ac:dyDescent="0.25">
      <c r="B3" s="102" t="s">
        <v>0</v>
      </c>
      <c r="C3" s="102" t="s">
        <v>2</v>
      </c>
      <c r="D3" s="102" t="s">
        <v>98</v>
      </c>
      <c r="E3" s="102" t="s">
        <v>97</v>
      </c>
      <c r="F3" s="102" t="s">
        <v>96</v>
      </c>
      <c r="G3" s="102" t="s">
        <v>95</v>
      </c>
      <c r="H3" s="130"/>
      <c r="I3" s="102" t="s">
        <v>94</v>
      </c>
      <c r="J3" s="102" t="s">
        <v>93</v>
      </c>
      <c r="K3" s="102" t="s">
        <v>92</v>
      </c>
      <c r="L3" s="102" t="s">
        <v>91</v>
      </c>
    </row>
    <row r="4" spans="1:12" x14ac:dyDescent="0.25">
      <c r="B4" s="125">
        <v>1</v>
      </c>
      <c r="C4" s="126">
        <v>26.21</v>
      </c>
      <c r="D4" s="129">
        <v>26.21</v>
      </c>
      <c r="E4" s="126">
        <v>26.21</v>
      </c>
      <c r="F4" s="126">
        <v>26.21</v>
      </c>
      <c r="G4" s="126">
        <v>26.21</v>
      </c>
      <c r="H4" s="95"/>
      <c r="I4" s="126">
        <v>26.21</v>
      </c>
      <c r="J4" s="126">
        <v>26.21</v>
      </c>
      <c r="K4" s="126">
        <v>26.21</v>
      </c>
      <c r="L4" s="126">
        <v>26.21</v>
      </c>
    </row>
    <row r="5" spans="1:12" x14ac:dyDescent="0.25">
      <c r="B5" s="125">
        <v>2</v>
      </c>
      <c r="C5" s="126">
        <v>25.72</v>
      </c>
      <c r="D5" s="65">
        <f t="shared" ref="D5:D34" si="0">D4+$D$2*(C4-D4)</f>
        <v>26.21</v>
      </c>
      <c r="E5" s="65">
        <f t="shared" ref="E5:E34" si="1">E4+$E$2*(C4-E4)</f>
        <v>26.21</v>
      </c>
      <c r="F5" s="65">
        <f t="shared" ref="F5:F34" si="2">F4+$F$2*(C4-F4)</f>
        <v>26.21</v>
      </c>
      <c r="G5" s="65">
        <f t="shared" ref="G5:G34" si="3">G4+$G$2*(C4-G4)</f>
        <v>26.21</v>
      </c>
      <c r="H5" s="95"/>
      <c r="I5" s="65">
        <f t="shared" ref="I5:I34" si="4">I4+$I$2*(D4-I4)</f>
        <v>26.21</v>
      </c>
      <c r="J5" s="65">
        <f t="shared" ref="J5:J34" si="5">J4+$J$2*(E4-J4)</f>
        <v>26.21</v>
      </c>
      <c r="K5" s="65">
        <f t="shared" ref="K5:K34" si="6">K4+$K$2*(F4-K4)</f>
        <v>26.21</v>
      </c>
      <c r="L5" s="65">
        <f t="shared" ref="L5:L34" si="7">L4+$L$2*(G4-L4)</f>
        <v>26.21</v>
      </c>
    </row>
    <row r="6" spans="1:12" x14ac:dyDescent="0.25">
      <c r="B6" s="125">
        <v>3</v>
      </c>
      <c r="C6" s="126">
        <v>27.51</v>
      </c>
      <c r="D6" s="6">
        <f t="shared" si="0"/>
        <v>26.161000000000001</v>
      </c>
      <c r="E6" s="65">
        <f t="shared" si="1"/>
        <v>26.062999999999999</v>
      </c>
      <c r="F6" s="65">
        <f t="shared" si="2"/>
        <v>25.965</v>
      </c>
      <c r="G6" s="65">
        <f t="shared" si="3"/>
        <v>25.768999999999998</v>
      </c>
      <c r="H6" s="95"/>
      <c r="I6" s="65">
        <f t="shared" si="4"/>
        <v>26.21</v>
      </c>
      <c r="J6" s="65">
        <f t="shared" si="5"/>
        <v>26.21</v>
      </c>
      <c r="K6" s="65">
        <f t="shared" si="6"/>
        <v>26.21</v>
      </c>
      <c r="L6" s="65">
        <f t="shared" si="7"/>
        <v>26.21</v>
      </c>
    </row>
    <row r="7" spans="1:12" x14ac:dyDescent="0.25">
      <c r="B7" s="125">
        <v>4</v>
      </c>
      <c r="C7" s="126">
        <v>28.32</v>
      </c>
      <c r="D7" s="6">
        <f t="shared" si="0"/>
        <v>26.295900000000003</v>
      </c>
      <c r="E7" s="65">
        <f t="shared" si="1"/>
        <v>26.4971</v>
      </c>
      <c r="F7" s="65">
        <f t="shared" si="2"/>
        <v>26.737500000000001</v>
      </c>
      <c r="G7" s="65">
        <f t="shared" si="3"/>
        <v>27.335900000000002</v>
      </c>
      <c r="H7" s="95"/>
      <c r="I7" s="65">
        <f t="shared" si="4"/>
        <v>26.205100000000002</v>
      </c>
      <c r="J7" s="65">
        <f t="shared" si="5"/>
        <v>26.165900000000001</v>
      </c>
      <c r="K7" s="65">
        <f t="shared" si="6"/>
        <v>26.087499999999999</v>
      </c>
      <c r="L7" s="65">
        <f t="shared" si="7"/>
        <v>25.813099999999999</v>
      </c>
    </row>
    <row r="8" spans="1:12" x14ac:dyDescent="0.25">
      <c r="B8" s="125">
        <v>5</v>
      </c>
      <c r="C8" s="126">
        <v>28.42</v>
      </c>
      <c r="D8" s="6">
        <f t="shared" si="0"/>
        <v>26.498310000000004</v>
      </c>
      <c r="E8" s="65">
        <f t="shared" si="1"/>
        <v>27.043970000000002</v>
      </c>
      <c r="F8" s="65">
        <f t="shared" si="2"/>
        <v>27.528750000000002</v>
      </c>
      <c r="G8" s="65">
        <f t="shared" si="3"/>
        <v>28.221589999999999</v>
      </c>
      <c r="H8" s="95"/>
      <c r="I8" s="65">
        <f t="shared" si="4"/>
        <v>26.214180000000002</v>
      </c>
      <c r="J8" s="65">
        <f t="shared" si="5"/>
        <v>26.265260000000001</v>
      </c>
      <c r="K8" s="65">
        <f t="shared" si="6"/>
        <v>26.412500000000001</v>
      </c>
      <c r="L8" s="65">
        <f t="shared" si="7"/>
        <v>27.183620000000001</v>
      </c>
    </row>
    <row r="9" spans="1:12" x14ac:dyDescent="0.25">
      <c r="B9" s="125">
        <v>6</v>
      </c>
      <c r="C9" s="126">
        <v>28.28</v>
      </c>
      <c r="D9" s="6">
        <f t="shared" si="0"/>
        <v>26.690479000000003</v>
      </c>
      <c r="E9" s="65">
        <f t="shared" si="1"/>
        <v>27.456779000000001</v>
      </c>
      <c r="F9" s="65">
        <f t="shared" si="2"/>
        <v>27.974375000000002</v>
      </c>
      <c r="G9" s="65">
        <f t="shared" si="3"/>
        <v>28.400159000000002</v>
      </c>
      <c r="H9" s="95"/>
      <c r="I9" s="65">
        <f t="shared" si="4"/>
        <v>26.242593000000003</v>
      </c>
      <c r="J9" s="65">
        <f t="shared" si="5"/>
        <v>26.498873000000003</v>
      </c>
      <c r="K9" s="65">
        <f t="shared" si="6"/>
        <v>26.970625000000002</v>
      </c>
      <c r="L9" s="65">
        <f t="shared" si="7"/>
        <v>28.117792999999999</v>
      </c>
    </row>
    <row r="10" spans="1:12" x14ac:dyDescent="0.25">
      <c r="B10" s="125">
        <v>7</v>
      </c>
      <c r="C10" s="126">
        <v>27.1</v>
      </c>
      <c r="D10" s="6">
        <f t="shared" si="0"/>
        <v>26.849431100000004</v>
      </c>
      <c r="E10" s="65">
        <f t="shared" si="1"/>
        <v>27.703745300000001</v>
      </c>
      <c r="F10" s="65">
        <f t="shared" si="2"/>
        <v>28.127187500000002</v>
      </c>
      <c r="G10" s="65">
        <f t="shared" si="3"/>
        <v>28.292015900000003</v>
      </c>
      <c r="H10" s="95"/>
      <c r="I10" s="65">
        <f t="shared" si="4"/>
        <v>26.287381600000003</v>
      </c>
      <c r="J10" s="65">
        <f t="shared" si="5"/>
        <v>26.786244800000002</v>
      </c>
      <c r="K10" s="65">
        <f t="shared" si="6"/>
        <v>27.472500000000004</v>
      </c>
      <c r="L10" s="65">
        <f t="shared" si="7"/>
        <v>28.371922400000003</v>
      </c>
    </row>
    <row r="11" spans="1:12" x14ac:dyDescent="0.25">
      <c r="B11" s="125">
        <v>8</v>
      </c>
      <c r="C11" s="126">
        <v>32.35</v>
      </c>
      <c r="D11" s="6">
        <f t="shared" si="0"/>
        <v>26.874487990000002</v>
      </c>
      <c r="E11" s="65">
        <f t="shared" si="1"/>
        <v>27.522621710000003</v>
      </c>
      <c r="F11" s="65">
        <f t="shared" si="2"/>
        <v>27.61359375</v>
      </c>
      <c r="G11" s="65">
        <f t="shared" si="3"/>
        <v>27.219201590000001</v>
      </c>
      <c r="H11" s="95"/>
      <c r="I11" s="65">
        <f t="shared" si="4"/>
        <v>26.343586550000005</v>
      </c>
      <c r="J11" s="65">
        <f t="shared" si="5"/>
        <v>27.061494950000004</v>
      </c>
      <c r="K11" s="65">
        <f t="shared" si="6"/>
        <v>27.799843750000001</v>
      </c>
      <c r="L11" s="65">
        <f t="shared" si="7"/>
        <v>28.300006550000003</v>
      </c>
    </row>
    <row r="12" spans="1:12" x14ac:dyDescent="0.25">
      <c r="B12" s="125">
        <v>9</v>
      </c>
      <c r="C12" s="126">
        <v>35.33</v>
      </c>
      <c r="D12" s="6">
        <f t="shared" si="0"/>
        <v>27.422039191000003</v>
      </c>
      <c r="E12" s="65">
        <f t="shared" si="1"/>
        <v>28.970835197000003</v>
      </c>
      <c r="F12" s="65">
        <f t="shared" si="2"/>
        <v>29.981796875000001</v>
      </c>
      <c r="G12" s="65">
        <f t="shared" si="3"/>
        <v>31.836920159000002</v>
      </c>
      <c r="H12" s="95"/>
      <c r="I12" s="65">
        <f t="shared" si="4"/>
        <v>26.396676694000003</v>
      </c>
      <c r="J12" s="65">
        <f t="shared" si="5"/>
        <v>27.199832978000003</v>
      </c>
      <c r="K12" s="65">
        <f t="shared" si="6"/>
        <v>27.70671875</v>
      </c>
      <c r="L12" s="65">
        <f t="shared" si="7"/>
        <v>27.327282086</v>
      </c>
    </row>
    <row r="13" spans="1:12" x14ac:dyDescent="0.25">
      <c r="B13" s="125">
        <v>10</v>
      </c>
      <c r="C13" s="126">
        <v>33.35</v>
      </c>
      <c r="D13" s="6">
        <f t="shared" si="0"/>
        <v>28.212835271900001</v>
      </c>
      <c r="E13" s="65">
        <f t="shared" si="1"/>
        <v>30.878584637900001</v>
      </c>
      <c r="F13" s="65">
        <f t="shared" si="2"/>
        <v>32.655898437499999</v>
      </c>
      <c r="G13" s="65">
        <f t="shared" si="3"/>
        <v>34.980692015899997</v>
      </c>
      <c r="H13" s="95"/>
      <c r="I13" s="65">
        <f t="shared" si="4"/>
        <v>26.499212943700002</v>
      </c>
      <c r="J13" s="65">
        <f t="shared" si="5"/>
        <v>27.731133643700005</v>
      </c>
      <c r="K13" s="65">
        <f t="shared" si="6"/>
        <v>28.8442578125</v>
      </c>
      <c r="L13" s="65">
        <f t="shared" si="7"/>
        <v>31.385956351700003</v>
      </c>
    </row>
    <row r="14" spans="1:12" x14ac:dyDescent="0.25">
      <c r="B14" s="125">
        <v>11</v>
      </c>
      <c r="C14" s="126">
        <v>36.409999999999997</v>
      </c>
      <c r="D14" s="6">
        <f t="shared" si="0"/>
        <v>28.726551744710001</v>
      </c>
      <c r="E14" s="65">
        <f t="shared" si="1"/>
        <v>31.620009246530003</v>
      </c>
      <c r="F14" s="65">
        <f t="shared" si="2"/>
        <v>33.002949218750004</v>
      </c>
      <c r="G14" s="65">
        <f t="shared" si="3"/>
        <v>33.51306920159</v>
      </c>
      <c r="H14" s="95"/>
      <c r="I14" s="65">
        <f t="shared" si="4"/>
        <v>26.670575176520003</v>
      </c>
      <c r="J14" s="65">
        <f t="shared" si="5"/>
        <v>28.675368941960002</v>
      </c>
      <c r="K14" s="65">
        <f t="shared" si="6"/>
        <v>30.750078125000002</v>
      </c>
      <c r="L14" s="65">
        <f t="shared" si="7"/>
        <v>34.621218449479997</v>
      </c>
    </row>
    <row r="15" spans="1:12" x14ac:dyDescent="0.25">
      <c r="B15" s="125">
        <v>12</v>
      </c>
      <c r="C15" s="126">
        <v>29.14</v>
      </c>
      <c r="D15" s="6">
        <f t="shared" si="0"/>
        <v>29.494896570239</v>
      </c>
      <c r="E15" s="65">
        <f t="shared" si="1"/>
        <v>33.057006472571004</v>
      </c>
      <c r="F15" s="65">
        <f t="shared" si="2"/>
        <v>34.706474609375</v>
      </c>
      <c r="G15" s="65">
        <f t="shared" si="3"/>
        <v>36.120306920158995</v>
      </c>
      <c r="H15" s="95"/>
      <c r="I15" s="65">
        <f t="shared" si="4"/>
        <v>26.876172833339002</v>
      </c>
      <c r="J15" s="65">
        <f t="shared" si="5"/>
        <v>29.558761033331002</v>
      </c>
      <c r="K15" s="65">
        <f t="shared" si="6"/>
        <v>31.876513671875003</v>
      </c>
      <c r="L15" s="65">
        <f t="shared" si="7"/>
        <v>33.623884126378996</v>
      </c>
    </row>
    <row r="16" spans="1:12" x14ac:dyDescent="0.25">
      <c r="B16" s="125">
        <v>13</v>
      </c>
      <c r="C16" s="126">
        <v>28.42</v>
      </c>
      <c r="D16" s="6">
        <f t="shared" si="0"/>
        <v>29.459406913215101</v>
      </c>
      <c r="E16" s="65">
        <f t="shared" si="1"/>
        <v>31.881904530799702</v>
      </c>
      <c r="F16" s="65">
        <f t="shared" si="2"/>
        <v>31.9232373046875</v>
      </c>
      <c r="G16" s="65">
        <f t="shared" si="3"/>
        <v>29.838030692015899</v>
      </c>
      <c r="H16" s="95"/>
      <c r="I16" s="65">
        <f t="shared" si="4"/>
        <v>27.138045207029002</v>
      </c>
      <c r="J16" s="65">
        <f t="shared" si="5"/>
        <v>30.608234665103002</v>
      </c>
      <c r="K16" s="65">
        <f t="shared" si="6"/>
        <v>33.291494140625005</v>
      </c>
      <c r="L16" s="65">
        <f t="shared" si="7"/>
        <v>35.870664640780994</v>
      </c>
    </row>
    <row r="17" spans="2:12" x14ac:dyDescent="0.25">
      <c r="B17" s="125">
        <v>14</v>
      </c>
      <c r="C17" s="126">
        <v>28.58</v>
      </c>
      <c r="D17" s="6">
        <f t="shared" si="0"/>
        <v>29.355466221893593</v>
      </c>
      <c r="E17" s="65">
        <f t="shared" si="1"/>
        <v>30.843333171559792</v>
      </c>
      <c r="F17" s="65">
        <f t="shared" si="2"/>
        <v>30.171618652343753</v>
      </c>
      <c r="G17" s="65">
        <f t="shared" si="3"/>
        <v>28.561803069201591</v>
      </c>
      <c r="H17" s="95"/>
      <c r="I17" s="65">
        <f t="shared" si="4"/>
        <v>27.370181377647611</v>
      </c>
      <c r="J17" s="65">
        <f t="shared" si="5"/>
        <v>30.990335624812012</v>
      </c>
      <c r="K17" s="65">
        <f t="shared" si="6"/>
        <v>32.607365722656255</v>
      </c>
      <c r="L17" s="65">
        <f t="shared" si="7"/>
        <v>30.441294086892409</v>
      </c>
    </row>
    <row r="18" spans="2:12" x14ac:dyDescent="0.25">
      <c r="B18" s="125">
        <v>15</v>
      </c>
      <c r="C18" s="126">
        <v>29.05</v>
      </c>
      <c r="D18" s="6">
        <f t="shared" si="0"/>
        <v>29.277919599704234</v>
      </c>
      <c r="E18" s="65">
        <f t="shared" si="1"/>
        <v>30.164333220091855</v>
      </c>
      <c r="F18" s="65">
        <f t="shared" si="2"/>
        <v>29.375809326171876</v>
      </c>
      <c r="G18" s="65">
        <f t="shared" si="3"/>
        <v>28.578180306920157</v>
      </c>
      <c r="H18" s="95"/>
      <c r="I18" s="65">
        <f t="shared" si="4"/>
        <v>27.568709862072211</v>
      </c>
      <c r="J18" s="65">
        <f t="shared" si="5"/>
        <v>30.946234888836347</v>
      </c>
      <c r="K18" s="65">
        <f t="shared" si="6"/>
        <v>31.389492187500004</v>
      </c>
      <c r="L18" s="65">
        <f t="shared" si="7"/>
        <v>28.749752170970673</v>
      </c>
    </row>
    <row r="19" spans="2:12" x14ac:dyDescent="0.25">
      <c r="B19" s="125">
        <v>16</v>
      </c>
      <c r="C19" s="126">
        <v>30.25</v>
      </c>
      <c r="D19" s="6">
        <f t="shared" si="0"/>
        <v>29.255127639733811</v>
      </c>
      <c r="E19" s="65">
        <f t="shared" si="1"/>
        <v>29.830033254064297</v>
      </c>
      <c r="F19" s="65">
        <f t="shared" si="2"/>
        <v>29.212904663085936</v>
      </c>
      <c r="G19" s="65">
        <f t="shared" si="3"/>
        <v>29.002818030692016</v>
      </c>
      <c r="H19" s="95"/>
      <c r="I19" s="65">
        <f t="shared" si="4"/>
        <v>27.739630835835413</v>
      </c>
      <c r="J19" s="65">
        <f t="shared" si="5"/>
        <v>30.711664388212998</v>
      </c>
      <c r="K19" s="65">
        <f t="shared" si="6"/>
        <v>30.38265075683594</v>
      </c>
      <c r="L19" s="65">
        <f t="shared" si="7"/>
        <v>28.595337493325207</v>
      </c>
    </row>
    <row r="20" spans="2:12" x14ac:dyDescent="0.25">
      <c r="B20" s="125">
        <v>17</v>
      </c>
      <c r="C20" s="126">
        <v>29.42</v>
      </c>
      <c r="D20" s="6">
        <f t="shared" si="0"/>
        <v>29.354614875760429</v>
      </c>
      <c r="E20" s="65">
        <f t="shared" si="1"/>
        <v>29.956023277845009</v>
      </c>
      <c r="F20" s="65">
        <f t="shared" si="2"/>
        <v>29.731452331542968</v>
      </c>
      <c r="G20" s="65">
        <f t="shared" si="3"/>
        <v>30.1252818030692</v>
      </c>
      <c r="H20" s="95"/>
      <c r="I20" s="65">
        <f t="shared" si="4"/>
        <v>27.891180516225255</v>
      </c>
      <c r="J20" s="65">
        <f t="shared" si="5"/>
        <v>30.447175047968386</v>
      </c>
      <c r="K20" s="65">
        <f t="shared" si="6"/>
        <v>29.79777770996094</v>
      </c>
      <c r="L20" s="65">
        <f t="shared" si="7"/>
        <v>28.962069976955334</v>
      </c>
    </row>
    <row r="21" spans="2:12" x14ac:dyDescent="0.25">
      <c r="B21" s="125">
        <v>18</v>
      </c>
      <c r="C21" s="126">
        <v>27.38</v>
      </c>
      <c r="D21" s="6">
        <f t="shared" si="0"/>
        <v>29.361153388184388</v>
      </c>
      <c r="E21" s="65">
        <f t="shared" si="1"/>
        <v>29.795216294491507</v>
      </c>
      <c r="F21" s="65">
        <f t="shared" si="2"/>
        <v>29.575726165771485</v>
      </c>
      <c r="G21" s="65">
        <f t="shared" si="3"/>
        <v>29.490528180306921</v>
      </c>
      <c r="H21" s="95"/>
      <c r="I21" s="65">
        <f t="shared" si="4"/>
        <v>28.037523952178773</v>
      </c>
      <c r="J21" s="65">
        <f t="shared" si="5"/>
        <v>30.299829516931375</v>
      </c>
      <c r="K21" s="65">
        <f t="shared" si="6"/>
        <v>29.764615020751954</v>
      </c>
      <c r="L21" s="65">
        <f t="shared" si="7"/>
        <v>30.008960620457813</v>
      </c>
    </row>
    <row r="22" spans="2:12" x14ac:dyDescent="0.25">
      <c r="B22" s="125">
        <v>19</v>
      </c>
      <c r="C22" s="126">
        <v>27.68</v>
      </c>
      <c r="D22" s="6">
        <f t="shared" si="0"/>
        <v>29.163038049365948</v>
      </c>
      <c r="E22" s="65">
        <f t="shared" si="1"/>
        <v>29.070651406144055</v>
      </c>
      <c r="F22" s="65">
        <f t="shared" si="2"/>
        <v>28.47786308288574</v>
      </c>
      <c r="G22" s="65">
        <f t="shared" si="3"/>
        <v>27.59105281803069</v>
      </c>
      <c r="H22" s="95"/>
      <c r="I22" s="65">
        <f t="shared" si="4"/>
        <v>28.169886895779335</v>
      </c>
      <c r="J22" s="65">
        <f t="shared" si="5"/>
        <v>30.148445550199416</v>
      </c>
      <c r="K22" s="65">
        <f t="shared" si="6"/>
        <v>29.670170593261719</v>
      </c>
      <c r="L22" s="65">
        <f t="shared" si="7"/>
        <v>29.54237142432201</v>
      </c>
    </row>
    <row r="23" spans="2:12" x14ac:dyDescent="0.25">
      <c r="B23" s="125">
        <v>20</v>
      </c>
      <c r="C23" s="126">
        <v>30.22</v>
      </c>
      <c r="D23" s="6">
        <f t="shared" si="0"/>
        <v>29.014734244429352</v>
      </c>
      <c r="E23" s="65">
        <f t="shared" si="1"/>
        <v>28.653455984300837</v>
      </c>
      <c r="F23" s="65">
        <f t="shared" si="2"/>
        <v>28.07893154144287</v>
      </c>
      <c r="G23" s="65">
        <f t="shared" si="3"/>
        <v>27.671105281803069</v>
      </c>
      <c r="H23" s="95"/>
      <c r="I23" s="65">
        <f t="shared" si="4"/>
        <v>28.269202011137995</v>
      </c>
      <c r="J23" s="65">
        <f t="shared" si="5"/>
        <v>29.825107306982808</v>
      </c>
      <c r="K23" s="65">
        <f t="shared" si="6"/>
        <v>29.074016838073732</v>
      </c>
      <c r="L23" s="65">
        <f t="shared" si="7"/>
        <v>27.786184678659822</v>
      </c>
    </row>
    <row r="24" spans="2:12" x14ac:dyDescent="0.25">
      <c r="B24" s="125">
        <v>21</v>
      </c>
      <c r="C24" s="126">
        <v>29.24</v>
      </c>
      <c r="D24" s="6">
        <f t="shared" si="0"/>
        <v>29.135260819986417</v>
      </c>
      <c r="E24" s="65">
        <f t="shared" si="1"/>
        <v>29.123419189010587</v>
      </c>
      <c r="F24" s="65">
        <f t="shared" si="2"/>
        <v>29.149465770721434</v>
      </c>
      <c r="G24" s="65">
        <f t="shared" si="3"/>
        <v>29.965110528180304</v>
      </c>
      <c r="H24" s="95"/>
      <c r="I24" s="65">
        <f t="shared" si="4"/>
        <v>28.343755234467132</v>
      </c>
      <c r="J24" s="65">
        <f t="shared" si="5"/>
        <v>29.473611910178217</v>
      </c>
      <c r="K24" s="65">
        <f t="shared" si="6"/>
        <v>28.576474189758301</v>
      </c>
      <c r="L24" s="65">
        <f t="shared" si="7"/>
        <v>27.682613221488744</v>
      </c>
    </row>
    <row r="25" spans="2:12" x14ac:dyDescent="0.25">
      <c r="B25" s="125">
        <v>22</v>
      </c>
      <c r="C25" s="126">
        <v>28.75</v>
      </c>
      <c r="D25" s="6">
        <f t="shared" si="0"/>
        <v>29.145734737987777</v>
      </c>
      <c r="E25" s="65">
        <f t="shared" si="1"/>
        <v>29.15839343230741</v>
      </c>
      <c r="F25" s="65">
        <f t="shared" si="2"/>
        <v>29.194732885360715</v>
      </c>
      <c r="G25" s="65">
        <f t="shared" si="3"/>
        <v>29.312511052818028</v>
      </c>
      <c r="H25" s="95"/>
      <c r="I25" s="65">
        <f t="shared" si="4"/>
        <v>28.422905793019062</v>
      </c>
      <c r="J25" s="65">
        <f t="shared" si="5"/>
        <v>29.368554093827928</v>
      </c>
      <c r="K25" s="65">
        <f t="shared" si="6"/>
        <v>28.862969980239868</v>
      </c>
      <c r="L25" s="65">
        <f t="shared" si="7"/>
        <v>29.736860797511149</v>
      </c>
    </row>
    <row r="26" spans="2:12" x14ac:dyDescent="0.25">
      <c r="B26" s="125">
        <v>23</v>
      </c>
      <c r="C26" s="126">
        <v>28.02</v>
      </c>
      <c r="D26" s="6">
        <f t="shared" si="0"/>
        <v>29.106161264188998</v>
      </c>
      <c r="E26" s="65">
        <f t="shared" si="1"/>
        <v>29.035875402615186</v>
      </c>
      <c r="F26" s="65">
        <f t="shared" si="2"/>
        <v>28.972366442680357</v>
      </c>
      <c r="G26" s="65">
        <f t="shared" si="3"/>
        <v>28.806251105281802</v>
      </c>
      <c r="H26" s="95"/>
      <c r="I26" s="65">
        <f t="shared" si="4"/>
        <v>28.495188687515935</v>
      </c>
      <c r="J26" s="65">
        <f t="shared" si="5"/>
        <v>29.305505895371773</v>
      </c>
      <c r="K26" s="65">
        <f t="shared" si="6"/>
        <v>29.028851432800291</v>
      </c>
      <c r="L26" s="65">
        <f t="shared" si="7"/>
        <v>29.35494602728734</v>
      </c>
    </row>
    <row r="27" spans="2:12" x14ac:dyDescent="0.25">
      <c r="B27" s="125">
        <v>24</v>
      </c>
      <c r="C27" s="126">
        <v>26.69</v>
      </c>
      <c r="D27" s="6">
        <f t="shared" si="0"/>
        <v>28.997545137770096</v>
      </c>
      <c r="E27" s="65">
        <f t="shared" si="1"/>
        <v>28.731112781830632</v>
      </c>
      <c r="F27" s="65">
        <f t="shared" si="2"/>
        <v>28.496183221340178</v>
      </c>
      <c r="G27" s="65">
        <f t="shared" si="3"/>
        <v>28.098625110528179</v>
      </c>
      <c r="H27" s="95"/>
      <c r="I27" s="65">
        <f t="shared" si="4"/>
        <v>28.556285945183241</v>
      </c>
      <c r="J27" s="65">
        <f t="shared" si="5"/>
        <v>29.224616747544797</v>
      </c>
      <c r="K27" s="65">
        <f t="shared" si="6"/>
        <v>29.000608937740324</v>
      </c>
      <c r="L27" s="65">
        <f t="shared" si="7"/>
        <v>28.861120597482355</v>
      </c>
    </row>
    <row r="28" spans="2:12" x14ac:dyDescent="0.25">
      <c r="B28" s="125">
        <v>25</v>
      </c>
      <c r="C28" s="126">
        <v>25.08</v>
      </c>
      <c r="D28" s="6">
        <f t="shared" si="0"/>
        <v>28.766790623993089</v>
      </c>
      <c r="E28" s="65">
        <f t="shared" si="1"/>
        <v>28.118778947281442</v>
      </c>
      <c r="F28" s="65">
        <f t="shared" si="2"/>
        <v>27.59309161067009</v>
      </c>
      <c r="G28" s="65">
        <f t="shared" si="3"/>
        <v>26.830862511052818</v>
      </c>
      <c r="H28" s="95"/>
      <c r="I28" s="65">
        <f t="shared" si="4"/>
        <v>28.600411864441927</v>
      </c>
      <c r="J28" s="65">
        <f t="shared" si="5"/>
        <v>29.076565557830548</v>
      </c>
      <c r="K28" s="65">
        <f t="shared" si="6"/>
        <v>28.74839607954025</v>
      </c>
      <c r="L28" s="65">
        <f t="shared" si="7"/>
        <v>28.174874659223597</v>
      </c>
    </row>
    <row r="29" spans="2:12" x14ac:dyDescent="0.25">
      <c r="B29" s="125">
        <v>26</v>
      </c>
      <c r="C29" s="126">
        <v>23.39</v>
      </c>
      <c r="D29" s="6">
        <f t="shared" si="0"/>
        <v>28.39811156159378</v>
      </c>
      <c r="E29" s="65">
        <f t="shared" si="1"/>
        <v>27.207145263097008</v>
      </c>
      <c r="F29" s="65">
        <f t="shared" si="2"/>
        <v>26.336545805335042</v>
      </c>
      <c r="G29" s="65">
        <f t="shared" si="3"/>
        <v>25.255086251105279</v>
      </c>
      <c r="H29" s="95"/>
      <c r="I29" s="65">
        <f t="shared" si="4"/>
        <v>28.617049740397043</v>
      </c>
      <c r="J29" s="65">
        <f t="shared" si="5"/>
        <v>28.789229574665818</v>
      </c>
      <c r="K29" s="65">
        <f t="shared" si="6"/>
        <v>28.170743845105171</v>
      </c>
      <c r="L29" s="65">
        <f t="shared" si="7"/>
        <v>26.965263725869896</v>
      </c>
    </row>
    <row r="30" spans="2:12" x14ac:dyDescent="0.25">
      <c r="B30" s="125">
        <v>27</v>
      </c>
      <c r="C30" s="126">
        <v>22.65</v>
      </c>
      <c r="D30" s="6">
        <f t="shared" si="0"/>
        <v>27.8973004054344</v>
      </c>
      <c r="E30" s="65">
        <f t="shared" si="1"/>
        <v>26.062001684167907</v>
      </c>
      <c r="F30" s="65">
        <f t="shared" si="2"/>
        <v>24.863272902667521</v>
      </c>
      <c r="G30" s="65">
        <f t="shared" si="3"/>
        <v>23.576508625110527</v>
      </c>
      <c r="H30" s="95"/>
      <c r="I30" s="65">
        <f t="shared" si="4"/>
        <v>28.595155922516717</v>
      </c>
      <c r="J30" s="65">
        <f t="shared" si="5"/>
        <v>28.314604281195173</v>
      </c>
      <c r="K30" s="65">
        <f t="shared" si="6"/>
        <v>27.253644825220107</v>
      </c>
      <c r="L30" s="65">
        <f t="shared" si="7"/>
        <v>25.426103998581741</v>
      </c>
    </row>
    <row r="31" spans="2:12" x14ac:dyDescent="0.25">
      <c r="B31" s="125">
        <v>28</v>
      </c>
      <c r="C31" s="126">
        <v>22.02</v>
      </c>
      <c r="D31" s="6">
        <f t="shared" si="0"/>
        <v>27.372570364890962</v>
      </c>
      <c r="E31" s="65">
        <f t="shared" si="1"/>
        <v>25.038401178917535</v>
      </c>
      <c r="F31" s="65">
        <f t="shared" si="2"/>
        <v>23.756636451333762</v>
      </c>
      <c r="G31" s="65">
        <f t="shared" si="3"/>
        <v>22.742650862511052</v>
      </c>
      <c r="H31" s="95"/>
      <c r="I31" s="65">
        <f t="shared" si="4"/>
        <v>28.525370370808485</v>
      </c>
      <c r="J31" s="65">
        <f t="shared" si="5"/>
        <v>27.638823502086993</v>
      </c>
      <c r="K31" s="65">
        <f t="shared" si="6"/>
        <v>26.058458863943812</v>
      </c>
      <c r="L31" s="65">
        <f t="shared" si="7"/>
        <v>23.76146816245765</v>
      </c>
    </row>
    <row r="32" spans="2:12" x14ac:dyDescent="0.25">
      <c r="B32" s="125">
        <v>29</v>
      </c>
      <c r="C32" s="126">
        <v>23.39</v>
      </c>
      <c r="D32" s="6">
        <f t="shared" si="0"/>
        <v>26.837313328401866</v>
      </c>
      <c r="E32" s="65">
        <f t="shared" si="1"/>
        <v>24.132880825242275</v>
      </c>
      <c r="F32" s="65">
        <f t="shared" si="2"/>
        <v>22.888318225666879</v>
      </c>
      <c r="G32" s="65">
        <f t="shared" si="3"/>
        <v>22.092265086251103</v>
      </c>
      <c r="H32" s="95"/>
      <c r="I32" s="65">
        <f t="shared" si="4"/>
        <v>28.410090370216732</v>
      </c>
      <c r="J32" s="65">
        <f t="shared" si="5"/>
        <v>26.858696805136155</v>
      </c>
      <c r="K32" s="65">
        <f t="shared" si="6"/>
        <v>24.907547657638787</v>
      </c>
      <c r="L32" s="65">
        <f t="shared" si="7"/>
        <v>22.844532592505711</v>
      </c>
    </row>
    <row r="33" spans="2:12" x14ac:dyDescent="0.25">
      <c r="B33" s="125">
        <v>30</v>
      </c>
      <c r="C33" s="126">
        <v>26.35</v>
      </c>
      <c r="D33" s="6">
        <f t="shared" si="0"/>
        <v>26.492581995561679</v>
      </c>
      <c r="E33" s="65">
        <f t="shared" si="1"/>
        <v>23.910016577669591</v>
      </c>
      <c r="F33" s="65">
        <f t="shared" si="2"/>
        <v>23.13915911283344</v>
      </c>
      <c r="G33" s="65">
        <f t="shared" si="3"/>
        <v>23.260226508625109</v>
      </c>
      <c r="H33" s="95"/>
      <c r="I33" s="65">
        <f t="shared" si="4"/>
        <v>28.252812666035247</v>
      </c>
      <c r="J33" s="65">
        <f t="shared" si="5"/>
        <v>26.040952011167992</v>
      </c>
      <c r="K33" s="65">
        <f t="shared" si="6"/>
        <v>23.897932941652833</v>
      </c>
      <c r="L33" s="65">
        <f t="shared" si="7"/>
        <v>22.167491836876565</v>
      </c>
    </row>
    <row r="34" spans="2:12" x14ac:dyDescent="0.25">
      <c r="B34" s="95"/>
      <c r="C34" s="95"/>
      <c r="D34" s="6">
        <f t="shared" si="0"/>
        <v>26.478323796005512</v>
      </c>
      <c r="E34" s="65">
        <f t="shared" si="1"/>
        <v>24.642011604368715</v>
      </c>
      <c r="F34" s="65">
        <f t="shared" si="2"/>
        <v>24.744579556416721</v>
      </c>
      <c r="G34" s="65">
        <f t="shared" si="3"/>
        <v>26.041022650862512</v>
      </c>
      <c r="H34" s="95"/>
      <c r="I34" s="65">
        <f t="shared" si="4"/>
        <v>28.07678959898789</v>
      </c>
      <c r="J34" s="65">
        <f t="shared" si="5"/>
        <v>25.401671381118472</v>
      </c>
      <c r="K34" s="65">
        <f t="shared" si="6"/>
        <v>23.518546027243136</v>
      </c>
      <c r="L34" s="65">
        <f t="shared" si="7"/>
        <v>23.150953041450254</v>
      </c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68" orientation="landscape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S38"/>
  <sheetViews>
    <sheetView zoomScale="90" zoomScaleNormal="90" workbookViewId="0">
      <selection activeCell="A2" sqref="A2"/>
    </sheetView>
  </sheetViews>
  <sheetFormatPr defaultColWidth="8.85546875" defaultRowHeight="15" x14ac:dyDescent="0.25"/>
  <cols>
    <col min="1" max="7" width="8.85546875" style="7"/>
    <col min="8" max="8" width="12" style="7" customWidth="1"/>
    <col min="9" max="13" width="8.85546875" style="7"/>
    <col min="14" max="14" width="10.7109375" style="7" customWidth="1"/>
    <col min="15" max="16" width="8.85546875" style="7"/>
    <col min="17" max="18" width="12.42578125" style="7" customWidth="1"/>
    <col min="19" max="16384" width="8.85546875" style="7"/>
  </cols>
  <sheetData>
    <row r="1" spans="1:19" x14ac:dyDescent="0.25">
      <c r="A1" s="14" t="s">
        <v>174</v>
      </c>
      <c r="P1" s="95">
        <v>0.3</v>
      </c>
      <c r="Q1" s="123" t="s">
        <v>4</v>
      </c>
    </row>
    <row r="2" spans="1:19" ht="18" x14ac:dyDescent="0.35">
      <c r="B2" s="127" t="s">
        <v>0</v>
      </c>
      <c r="C2" s="127" t="s">
        <v>2</v>
      </c>
      <c r="D2" s="127" t="s">
        <v>8</v>
      </c>
      <c r="E2" s="127" t="s">
        <v>9</v>
      </c>
      <c r="F2" s="128" t="s">
        <v>14</v>
      </c>
      <c r="G2" s="128" t="s">
        <v>15</v>
      </c>
      <c r="H2" s="128" t="s">
        <v>10</v>
      </c>
      <c r="I2" s="102"/>
      <c r="J2" s="127" t="s">
        <v>11</v>
      </c>
      <c r="K2" s="127" t="s">
        <v>12</v>
      </c>
      <c r="L2" s="128" t="s">
        <v>14</v>
      </c>
      <c r="M2" s="128" t="s">
        <v>15</v>
      </c>
      <c r="N2" s="128" t="s">
        <v>13</v>
      </c>
      <c r="O2" s="70"/>
      <c r="Q2" s="70" t="s">
        <v>104</v>
      </c>
      <c r="R2" s="70" t="s">
        <v>103</v>
      </c>
      <c r="S2" s="70"/>
    </row>
    <row r="3" spans="1:19" x14ac:dyDescent="0.25">
      <c r="B3" s="125">
        <v>1</v>
      </c>
      <c r="C3" s="126">
        <v>26.21</v>
      </c>
      <c r="D3" s="95"/>
      <c r="E3" s="95"/>
      <c r="F3" s="95"/>
      <c r="G3" s="95"/>
      <c r="H3" s="95"/>
      <c r="I3" s="95"/>
      <c r="J3" s="95">
        <f>C3</f>
        <v>26.21</v>
      </c>
      <c r="K3" s="95">
        <f>C3</f>
        <v>26.21</v>
      </c>
      <c r="L3" s="95"/>
      <c r="M3" s="95"/>
      <c r="N3" s="95"/>
      <c r="P3" s="66" t="s">
        <v>102</v>
      </c>
      <c r="Q3" s="6">
        <f>(SUM(C12:C32)-SUM(H12:H32))/COUNT(C12:C32)</f>
        <v>-0.49709523809524181</v>
      </c>
      <c r="R3" s="6">
        <f>(SUM(C12:C32)-SUM(N12:N32))/COUNT(C12:C32)</f>
        <v>-0.96813879063475794</v>
      </c>
    </row>
    <row r="4" spans="1:19" x14ac:dyDescent="0.25">
      <c r="B4" s="125">
        <v>2</v>
      </c>
      <c r="C4" s="126">
        <v>25.72</v>
      </c>
      <c r="D4" s="95"/>
      <c r="E4" s="95"/>
      <c r="F4" s="95"/>
      <c r="G4" s="95"/>
      <c r="H4" s="95"/>
      <c r="I4" s="95"/>
      <c r="J4" s="65">
        <f t="shared" ref="J4:J32" si="0">$P$1*C3+(1-$P$1)*J3</f>
        <v>26.209999999999997</v>
      </c>
      <c r="K4" s="65">
        <f t="shared" ref="K4:K32" si="1">$P$1*J3+(1-$P$1)*K3</f>
        <v>26.209999999999997</v>
      </c>
      <c r="L4" s="6">
        <f t="shared" ref="L4:L32" si="2">2*J4-K4</f>
        <v>26.209999999999997</v>
      </c>
      <c r="M4" s="6">
        <f t="shared" ref="M4:M32" si="3">($P$1/(1-$P$1))*(J4-K4)</f>
        <v>0</v>
      </c>
      <c r="N4" s="6">
        <f t="shared" ref="N4:N31" si="4">L3+M3</f>
        <v>0</v>
      </c>
      <c r="O4" s="9"/>
      <c r="P4" s="66" t="s">
        <v>101</v>
      </c>
      <c r="Q4" s="65">
        <f>SUMXMY2(C12:C32,H12:H32)/COUNT(C12:C32)</f>
        <v>11.501285910476184</v>
      </c>
      <c r="R4" s="65">
        <f>SUMXMY2(C12:C32,N12:N32)/COUNT(C12:C32)</f>
        <v>12.5159166002225</v>
      </c>
    </row>
    <row r="5" spans="1:19" x14ac:dyDescent="0.25">
      <c r="B5" s="125">
        <v>3</v>
      </c>
      <c r="C5" s="126">
        <v>27.51</v>
      </c>
      <c r="D5" s="95"/>
      <c r="E5" s="95"/>
      <c r="F5" s="95"/>
      <c r="G5" s="95"/>
      <c r="H5" s="95"/>
      <c r="I5" s="95"/>
      <c r="J5" s="65">
        <f t="shared" si="0"/>
        <v>26.062999999999995</v>
      </c>
      <c r="K5" s="65">
        <f t="shared" si="1"/>
        <v>26.209999999999997</v>
      </c>
      <c r="L5" s="6">
        <f t="shared" si="2"/>
        <v>25.915999999999993</v>
      </c>
      <c r="M5" s="6">
        <f t="shared" si="3"/>
        <v>-6.3000000000000875E-2</v>
      </c>
      <c r="N5" s="6">
        <f t="shared" si="4"/>
        <v>26.209999999999997</v>
      </c>
      <c r="O5" s="9"/>
    </row>
    <row r="6" spans="1:19" x14ac:dyDescent="0.25">
      <c r="B6" s="125">
        <v>4</v>
      </c>
      <c r="C6" s="126">
        <v>28.32</v>
      </c>
      <c r="D6" s="6"/>
      <c r="E6" s="95"/>
      <c r="F6" s="95"/>
      <c r="G6" s="95"/>
      <c r="H6" s="95"/>
      <c r="I6" s="95"/>
      <c r="J6" s="65">
        <f t="shared" si="0"/>
        <v>26.497099999999996</v>
      </c>
      <c r="K6" s="65">
        <f t="shared" si="1"/>
        <v>26.165899999999997</v>
      </c>
      <c r="L6" s="6">
        <f t="shared" si="2"/>
        <v>26.828299999999995</v>
      </c>
      <c r="M6" s="6">
        <f t="shared" si="3"/>
        <v>0.14194285714285676</v>
      </c>
      <c r="N6" s="6">
        <f t="shared" si="4"/>
        <v>25.852999999999991</v>
      </c>
      <c r="O6" s="9"/>
      <c r="P6" s="7" t="s">
        <v>100</v>
      </c>
    </row>
    <row r="7" spans="1:19" x14ac:dyDescent="0.25">
      <c r="B7" s="125">
        <v>5</v>
      </c>
      <c r="C7" s="126">
        <v>28.42</v>
      </c>
      <c r="D7" s="6">
        <f t="shared" ref="D7:D32" si="5">AVERAGE(C3:C7)</f>
        <v>27.236000000000001</v>
      </c>
      <c r="E7" s="95"/>
      <c r="F7" s="95"/>
      <c r="G7" s="95"/>
      <c r="H7" s="95"/>
      <c r="I7" s="95"/>
      <c r="J7" s="65">
        <f t="shared" si="0"/>
        <v>27.043969999999995</v>
      </c>
      <c r="K7" s="65">
        <f t="shared" si="1"/>
        <v>26.265259999999998</v>
      </c>
      <c r="L7" s="6">
        <f t="shared" si="2"/>
        <v>27.822679999999991</v>
      </c>
      <c r="M7" s="6">
        <f t="shared" si="3"/>
        <v>0.33373285714285572</v>
      </c>
      <c r="N7" s="6">
        <f t="shared" si="4"/>
        <v>26.970242857142853</v>
      </c>
      <c r="O7" s="9"/>
    </row>
    <row r="8" spans="1:19" x14ac:dyDescent="0.25">
      <c r="B8" s="125">
        <v>6</v>
      </c>
      <c r="C8" s="126">
        <v>28.28</v>
      </c>
      <c r="D8" s="6">
        <f t="shared" si="5"/>
        <v>27.65</v>
      </c>
      <c r="E8" s="95"/>
      <c r="F8" s="95"/>
      <c r="G8" s="95"/>
      <c r="H8" s="95"/>
      <c r="I8" s="95"/>
      <c r="J8" s="65">
        <f t="shared" si="0"/>
        <v>27.456778999999994</v>
      </c>
      <c r="K8" s="65">
        <f t="shared" si="1"/>
        <v>26.498872999999996</v>
      </c>
      <c r="L8" s="6">
        <f t="shared" si="2"/>
        <v>28.414684999999992</v>
      </c>
      <c r="M8" s="6">
        <f t="shared" si="3"/>
        <v>0.41053114285714193</v>
      </c>
      <c r="N8" s="6">
        <f t="shared" si="4"/>
        <v>28.156412857142847</v>
      </c>
      <c r="O8" s="9"/>
    </row>
    <row r="9" spans="1:19" x14ac:dyDescent="0.25">
      <c r="B9" s="125">
        <v>7</v>
      </c>
      <c r="C9" s="126">
        <v>27.1</v>
      </c>
      <c r="D9" s="6">
        <f t="shared" si="5"/>
        <v>27.925999999999998</v>
      </c>
      <c r="E9" s="6"/>
      <c r="F9" s="6"/>
      <c r="G9" s="6"/>
      <c r="H9" s="95"/>
      <c r="I9" s="95"/>
      <c r="J9" s="65">
        <f t="shared" si="0"/>
        <v>27.703745299999994</v>
      </c>
      <c r="K9" s="65">
        <f t="shared" si="1"/>
        <v>26.786244799999995</v>
      </c>
      <c r="L9" s="6">
        <f t="shared" si="2"/>
        <v>28.621245799999993</v>
      </c>
      <c r="M9" s="6">
        <f t="shared" si="3"/>
        <v>0.39321449999999969</v>
      </c>
      <c r="N9" s="6">
        <f t="shared" si="4"/>
        <v>28.825216142857133</v>
      </c>
      <c r="O9" s="9"/>
    </row>
    <row r="10" spans="1:19" x14ac:dyDescent="0.25">
      <c r="B10" s="125">
        <v>8</v>
      </c>
      <c r="C10" s="126">
        <v>32.35</v>
      </c>
      <c r="D10" s="6">
        <f t="shared" si="5"/>
        <v>28.893999999999998</v>
      </c>
      <c r="E10" s="6"/>
      <c r="F10" s="6"/>
      <c r="G10" s="6"/>
      <c r="H10" s="6"/>
      <c r="I10" s="95"/>
      <c r="J10" s="65">
        <f t="shared" si="0"/>
        <v>27.522621709999996</v>
      </c>
      <c r="K10" s="65">
        <f t="shared" si="1"/>
        <v>27.061494949999993</v>
      </c>
      <c r="L10" s="6">
        <f t="shared" si="2"/>
        <v>27.983748469999998</v>
      </c>
      <c r="M10" s="6">
        <f t="shared" si="3"/>
        <v>0.19762575428571544</v>
      </c>
      <c r="N10" s="6">
        <f t="shared" si="4"/>
        <v>29.014460299999993</v>
      </c>
      <c r="O10" s="9"/>
    </row>
    <row r="11" spans="1:19" x14ac:dyDescent="0.25">
      <c r="B11" s="125">
        <v>9</v>
      </c>
      <c r="C11" s="126">
        <v>35.33</v>
      </c>
      <c r="D11" s="6">
        <f t="shared" si="5"/>
        <v>30.296000000000003</v>
      </c>
      <c r="E11" s="6">
        <f t="shared" ref="E11:E32" si="6">AVERAGE(D7:D11)</f>
        <v>28.400399999999998</v>
      </c>
      <c r="F11" s="6">
        <f t="shared" ref="F11:F32" si="7">2*D11-E11</f>
        <v>32.191600000000008</v>
      </c>
      <c r="G11" s="6">
        <f t="shared" ref="G11:G32" si="8">(2/4)*(D11-E11)</f>
        <v>0.94780000000000264</v>
      </c>
      <c r="H11" s="6"/>
      <c r="I11" s="95"/>
      <c r="J11" s="65">
        <f t="shared" si="0"/>
        <v>28.970835196999992</v>
      </c>
      <c r="K11" s="65">
        <f t="shared" si="1"/>
        <v>27.199832977999993</v>
      </c>
      <c r="L11" s="6">
        <f t="shared" si="2"/>
        <v>30.741837415999992</v>
      </c>
      <c r="M11" s="6">
        <f t="shared" si="3"/>
        <v>0.75900095099999987</v>
      </c>
      <c r="N11" s="6">
        <f t="shared" si="4"/>
        <v>28.181374224285715</v>
      </c>
      <c r="O11" s="9"/>
    </row>
    <row r="12" spans="1:19" x14ac:dyDescent="0.25">
      <c r="B12" s="125">
        <v>10</v>
      </c>
      <c r="C12" s="126">
        <v>33.35</v>
      </c>
      <c r="D12" s="6">
        <f t="shared" si="5"/>
        <v>31.282</v>
      </c>
      <c r="E12" s="6">
        <f t="shared" si="6"/>
        <v>29.209600000000002</v>
      </c>
      <c r="F12" s="6">
        <f t="shared" si="7"/>
        <v>33.354399999999998</v>
      </c>
      <c r="G12" s="6">
        <f t="shared" si="8"/>
        <v>1.0361999999999991</v>
      </c>
      <c r="H12" s="6">
        <f t="shared" ref="H12:H32" si="9">F11+G11</f>
        <v>33.139400000000009</v>
      </c>
      <c r="I12" s="95"/>
      <c r="J12" s="65">
        <f t="shared" si="0"/>
        <v>30.878584637899991</v>
      </c>
      <c r="K12" s="65">
        <f t="shared" si="1"/>
        <v>27.731133643699991</v>
      </c>
      <c r="L12" s="6">
        <f t="shared" si="2"/>
        <v>34.02603563209999</v>
      </c>
      <c r="M12" s="6">
        <f t="shared" si="3"/>
        <v>1.3489075689428571</v>
      </c>
      <c r="N12" s="6">
        <f t="shared" si="4"/>
        <v>31.500838366999993</v>
      </c>
      <c r="O12" s="9"/>
    </row>
    <row r="13" spans="1:19" x14ac:dyDescent="0.25">
      <c r="B13" s="125">
        <v>11</v>
      </c>
      <c r="C13" s="126">
        <v>36.409999999999997</v>
      </c>
      <c r="D13" s="6">
        <f t="shared" si="5"/>
        <v>32.908000000000001</v>
      </c>
      <c r="E13" s="6">
        <f t="shared" si="6"/>
        <v>30.261199999999995</v>
      </c>
      <c r="F13" s="6">
        <f t="shared" si="7"/>
        <v>35.554800000000007</v>
      </c>
      <c r="G13" s="6">
        <f t="shared" si="8"/>
        <v>1.323400000000003</v>
      </c>
      <c r="H13" s="6">
        <f t="shared" si="9"/>
        <v>34.390599999999999</v>
      </c>
      <c r="I13" s="95"/>
      <c r="J13" s="65">
        <f t="shared" si="0"/>
        <v>31.620009246529996</v>
      </c>
      <c r="K13" s="65">
        <f t="shared" si="1"/>
        <v>28.675368941959988</v>
      </c>
      <c r="L13" s="6">
        <f t="shared" si="2"/>
        <v>34.564649551100004</v>
      </c>
      <c r="M13" s="6">
        <f t="shared" si="3"/>
        <v>1.2619887019585749</v>
      </c>
      <c r="N13" s="6">
        <f t="shared" si="4"/>
        <v>35.374943201042846</v>
      </c>
      <c r="O13" s="9"/>
    </row>
    <row r="14" spans="1:19" x14ac:dyDescent="0.25">
      <c r="B14" s="125">
        <v>12</v>
      </c>
      <c r="C14" s="126">
        <v>29.14</v>
      </c>
      <c r="D14" s="6">
        <f t="shared" si="5"/>
        <v>33.315999999999995</v>
      </c>
      <c r="E14" s="6">
        <f t="shared" si="6"/>
        <v>31.339199999999998</v>
      </c>
      <c r="F14" s="6">
        <f t="shared" si="7"/>
        <v>35.292799999999993</v>
      </c>
      <c r="G14" s="6">
        <f t="shared" si="8"/>
        <v>0.98839999999999861</v>
      </c>
      <c r="H14" s="6">
        <f t="shared" si="9"/>
        <v>36.878200000000007</v>
      </c>
      <c r="I14" s="95"/>
      <c r="J14" s="65">
        <f t="shared" si="0"/>
        <v>33.05700647257099</v>
      </c>
      <c r="K14" s="65">
        <f t="shared" si="1"/>
        <v>29.558761033330988</v>
      </c>
      <c r="L14" s="6">
        <f t="shared" si="2"/>
        <v>36.555251911810991</v>
      </c>
      <c r="M14" s="6">
        <f t="shared" si="3"/>
        <v>1.4992480453885721</v>
      </c>
      <c r="N14" s="6">
        <f t="shared" si="4"/>
        <v>35.826638253058576</v>
      </c>
      <c r="O14" s="9"/>
    </row>
    <row r="15" spans="1:19" x14ac:dyDescent="0.25">
      <c r="B15" s="125">
        <v>13</v>
      </c>
      <c r="C15" s="126">
        <v>28.42</v>
      </c>
      <c r="D15" s="6">
        <f t="shared" si="5"/>
        <v>32.530000000000008</v>
      </c>
      <c r="E15" s="6">
        <f t="shared" si="6"/>
        <v>32.066400000000002</v>
      </c>
      <c r="F15" s="6">
        <f t="shared" si="7"/>
        <v>32.993600000000015</v>
      </c>
      <c r="G15" s="6">
        <f t="shared" si="8"/>
        <v>0.23180000000000334</v>
      </c>
      <c r="H15" s="6">
        <f t="shared" si="9"/>
        <v>36.281199999999991</v>
      </c>
      <c r="I15" s="95"/>
      <c r="J15" s="65">
        <f t="shared" si="0"/>
        <v>31.881904530799687</v>
      </c>
      <c r="K15" s="65">
        <f t="shared" si="1"/>
        <v>30.608234665102987</v>
      </c>
      <c r="L15" s="6">
        <f t="shared" si="2"/>
        <v>33.155574396496391</v>
      </c>
      <c r="M15" s="6">
        <f t="shared" si="3"/>
        <v>0.54585851387001438</v>
      </c>
      <c r="N15" s="6">
        <f t="shared" si="4"/>
        <v>38.05449995719956</v>
      </c>
      <c r="O15" s="9"/>
    </row>
    <row r="16" spans="1:19" x14ac:dyDescent="0.25">
      <c r="B16" s="125">
        <v>14</v>
      </c>
      <c r="C16" s="126">
        <v>28.58</v>
      </c>
      <c r="D16" s="6">
        <f t="shared" si="5"/>
        <v>31.179999999999996</v>
      </c>
      <c r="E16" s="6">
        <f t="shared" si="6"/>
        <v>32.243200000000002</v>
      </c>
      <c r="F16" s="6">
        <f t="shared" si="7"/>
        <v>30.116799999999991</v>
      </c>
      <c r="G16" s="6">
        <f t="shared" si="8"/>
        <v>-0.53160000000000274</v>
      </c>
      <c r="H16" s="6">
        <f t="shared" si="9"/>
        <v>33.225400000000022</v>
      </c>
      <c r="I16" s="95"/>
      <c r="J16" s="65">
        <f t="shared" si="0"/>
        <v>30.843333171559781</v>
      </c>
      <c r="K16" s="65">
        <f t="shared" si="1"/>
        <v>30.990335624811998</v>
      </c>
      <c r="L16" s="6">
        <f t="shared" si="2"/>
        <v>30.696330718307564</v>
      </c>
      <c r="M16" s="6">
        <f t="shared" si="3"/>
        <v>-6.300105139380717E-2</v>
      </c>
      <c r="N16" s="6">
        <f t="shared" si="4"/>
        <v>33.701432910366407</v>
      </c>
      <c r="O16" s="9"/>
    </row>
    <row r="17" spans="2:15" x14ac:dyDescent="0.25">
      <c r="B17" s="125">
        <v>15</v>
      </c>
      <c r="C17" s="126">
        <v>29.05</v>
      </c>
      <c r="D17" s="6">
        <f t="shared" si="5"/>
        <v>30.32</v>
      </c>
      <c r="E17" s="6">
        <f t="shared" si="6"/>
        <v>32.050799999999995</v>
      </c>
      <c r="F17" s="6">
        <f t="shared" si="7"/>
        <v>28.589200000000005</v>
      </c>
      <c r="G17" s="6">
        <f t="shared" si="8"/>
        <v>-0.8653999999999975</v>
      </c>
      <c r="H17" s="6">
        <f t="shared" si="9"/>
        <v>29.585199999999986</v>
      </c>
      <c r="I17" s="95"/>
      <c r="J17" s="65">
        <f t="shared" si="0"/>
        <v>30.164333220091848</v>
      </c>
      <c r="K17" s="65">
        <f t="shared" si="1"/>
        <v>30.946234888836333</v>
      </c>
      <c r="L17" s="6">
        <f t="shared" si="2"/>
        <v>29.382431551347363</v>
      </c>
      <c r="M17" s="6">
        <f t="shared" si="3"/>
        <v>-0.33510071517620793</v>
      </c>
      <c r="N17" s="6">
        <f t="shared" si="4"/>
        <v>30.633329666913756</v>
      </c>
      <c r="O17" s="9"/>
    </row>
    <row r="18" spans="2:15" x14ac:dyDescent="0.25">
      <c r="B18" s="125">
        <v>16</v>
      </c>
      <c r="C18" s="126">
        <v>30.25</v>
      </c>
      <c r="D18" s="6">
        <f t="shared" si="5"/>
        <v>29.088000000000001</v>
      </c>
      <c r="E18" s="6">
        <f t="shared" si="6"/>
        <v>31.286799999999999</v>
      </c>
      <c r="F18" s="6">
        <f t="shared" si="7"/>
        <v>26.889200000000002</v>
      </c>
      <c r="G18" s="6">
        <f t="shared" si="8"/>
        <v>-1.0993999999999993</v>
      </c>
      <c r="H18" s="6">
        <f t="shared" si="9"/>
        <v>27.723800000000008</v>
      </c>
      <c r="I18" s="95"/>
      <c r="J18" s="65">
        <f t="shared" si="0"/>
        <v>29.830033254064293</v>
      </c>
      <c r="K18" s="65">
        <f t="shared" si="1"/>
        <v>30.711664388212988</v>
      </c>
      <c r="L18" s="6">
        <f t="shared" si="2"/>
        <v>28.948402119915599</v>
      </c>
      <c r="M18" s="6">
        <f t="shared" si="3"/>
        <v>-0.37784191463515476</v>
      </c>
      <c r="N18" s="6">
        <f t="shared" si="4"/>
        <v>29.047330836171156</v>
      </c>
      <c r="O18" s="9"/>
    </row>
    <row r="19" spans="2:15" x14ac:dyDescent="0.25">
      <c r="B19" s="125">
        <v>17</v>
      </c>
      <c r="C19" s="126">
        <v>29.42</v>
      </c>
      <c r="D19" s="6">
        <f t="shared" si="5"/>
        <v>29.143999999999998</v>
      </c>
      <c r="E19" s="6">
        <f t="shared" si="6"/>
        <v>30.452400000000001</v>
      </c>
      <c r="F19" s="6">
        <f t="shared" si="7"/>
        <v>27.835599999999996</v>
      </c>
      <c r="G19" s="6">
        <f t="shared" si="8"/>
        <v>-0.65420000000000122</v>
      </c>
      <c r="H19" s="6">
        <f t="shared" si="9"/>
        <v>25.789800000000003</v>
      </c>
      <c r="I19" s="95"/>
      <c r="J19" s="65">
        <f t="shared" si="0"/>
        <v>29.956023277845002</v>
      </c>
      <c r="K19" s="65">
        <f t="shared" si="1"/>
        <v>30.447175047968376</v>
      </c>
      <c r="L19" s="6">
        <f t="shared" si="2"/>
        <v>29.464871507721629</v>
      </c>
      <c r="M19" s="6">
        <f t="shared" si="3"/>
        <v>-0.21049361576716005</v>
      </c>
      <c r="N19" s="6">
        <f t="shared" si="4"/>
        <v>28.570560205280444</v>
      </c>
      <c r="O19" s="9"/>
    </row>
    <row r="20" spans="2:15" x14ac:dyDescent="0.25">
      <c r="B20" s="125">
        <v>18</v>
      </c>
      <c r="C20" s="126">
        <v>27.38</v>
      </c>
      <c r="D20" s="6">
        <f t="shared" si="5"/>
        <v>28.936</v>
      </c>
      <c r="E20" s="6">
        <f t="shared" si="6"/>
        <v>29.733600000000003</v>
      </c>
      <c r="F20" s="6">
        <f t="shared" si="7"/>
        <v>28.138399999999997</v>
      </c>
      <c r="G20" s="6">
        <f t="shared" si="8"/>
        <v>-0.39880000000000138</v>
      </c>
      <c r="H20" s="6">
        <f t="shared" si="9"/>
        <v>27.181399999999996</v>
      </c>
      <c r="I20" s="95"/>
      <c r="J20" s="65">
        <f t="shared" si="0"/>
        <v>29.7952162944915</v>
      </c>
      <c r="K20" s="65">
        <f t="shared" si="1"/>
        <v>30.299829516931361</v>
      </c>
      <c r="L20" s="6">
        <f t="shared" si="2"/>
        <v>29.290603072051638</v>
      </c>
      <c r="M20" s="6">
        <f t="shared" si="3"/>
        <v>-0.21626280961708338</v>
      </c>
      <c r="N20" s="6">
        <f t="shared" si="4"/>
        <v>29.254377891954469</v>
      </c>
      <c r="O20" s="9"/>
    </row>
    <row r="21" spans="2:15" x14ac:dyDescent="0.25">
      <c r="B21" s="125">
        <v>19</v>
      </c>
      <c r="C21" s="126">
        <v>27.68</v>
      </c>
      <c r="D21" s="6">
        <f t="shared" si="5"/>
        <v>28.756</v>
      </c>
      <c r="E21" s="6">
        <f t="shared" si="6"/>
        <v>29.248799999999999</v>
      </c>
      <c r="F21" s="6">
        <f t="shared" si="7"/>
        <v>28.263200000000001</v>
      </c>
      <c r="G21" s="6">
        <f t="shared" si="8"/>
        <v>-0.24639999999999951</v>
      </c>
      <c r="H21" s="6">
        <f t="shared" si="9"/>
        <v>27.739599999999996</v>
      </c>
      <c r="I21" s="95"/>
      <c r="J21" s="65">
        <f t="shared" si="0"/>
        <v>29.070651406144048</v>
      </c>
      <c r="K21" s="65">
        <f t="shared" si="1"/>
        <v>30.148445550199401</v>
      </c>
      <c r="L21" s="6">
        <f t="shared" si="2"/>
        <v>27.992857262088695</v>
      </c>
      <c r="M21" s="6">
        <f t="shared" si="3"/>
        <v>-0.46191177602372291</v>
      </c>
      <c r="N21" s="6">
        <f t="shared" si="4"/>
        <v>29.074340262434553</v>
      </c>
      <c r="O21" s="9"/>
    </row>
    <row r="22" spans="2:15" x14ac:dyDescent="0.25">
      <c r="B22" s="125">
        <v>20</v>
      </c>
      <c r="C22" s="126">
        <v>30.22</v>
      </c>
      <c r="D22" s="6">
        <f t="shared" si="5"/>
        <v>28.99</v>
      </c>
      <c r="E22" s="6">
        <f t="shared" si="6"/>
        <v>28.982800000000005</v>
      </c>
      <c r="F22" s="6">
        <f t="shared" si="7"/>
        <v>28.997199999999992</v>
      </c>
      <c r="G22" s="6">
        <f t="shared" si="8"/>
        <v>3.599999999996939E-3</v>
      </c>
      <c r="H22" s="6">
        <f t="shared" si="9"/>
        <v>28.016800000000003</v>
      </c>
      <c r="I22" s="95"/>
      <c r="J22" s="65">
        <f t="shared" si="0"/>
        <v>28.653455984300834</v>
      </c>
      <c r="K22" s="65">
        <f t="shared" si="1"/>
        <v>29.825107306982794</v>
      </c>
      <c r="L22" s="6">
        <f t="shared" si="2"/>
        <v>27.481804661618874</v>
      </c>
      <c r="M22" s="6">
        <f t="shared" si="3"/>
        <v>-0.50213628114941145</v>
      </c>
      <c r="N22" s="6">
        <f t="shared" si="4"/>
        <v>27.530945486064972</v>
      </c>
      <c r="O22" s="9"/>
    </row>
    <row r="23" spans="2:15" x14ac:dyDescent="0.25">
      <c r="B23" s="125">
        <v>21</v>
      </c>
      <c r="C23" s="126">
        <v>29.24</v>
      </c>
      <c r="D23" s="6">
        <f t="shared" si="5"/>
        <v>28.788</v>
      </c>
      <c r="E23" s="6">
        <f t="shared" si="6"/>
        <v>28.922800000000002</v>
      </c>
      <c r="F23" s="6">
        <f t="shared" si="7"/>
        <v>28.653199999999998</v>
      </c>
      <c r="G23" s="6">
        <f t="shared" si="8"/>
        <v>-6.7400000000001015E-2</v>
      </c>
      <c r="H23" s="6">
        <f t="shared" si="9"/>
        <v>29.000799999999991</v>
      </c>
      <c r="I23" s="95"/>
      <c r="J23" s="65">
        <f t="shared" si="0"/>
        <v>29.12341918901058</v>
      </c>
      <c r="K23" s="65">
        <f t="shared" si="1"/>
        <v>29.473611910178203</v>
      </c>
      <c r="L23" s="6">
        <f t="shared" si="2"/>
        <v>28.773226467842957</v>
      </c>
      <c r="M23" s="6">
        <f t="shared" si="3"/>
        <v>-0.15008259478612426</v>
      </c>
      <c r="N23" s="6">
        <f t="shared" si="4"/>
        <v>26.979668380469462</v>
      </c>
      <c r="O23" s="9"/>
    </row>
    <row r="24" spans="2:15" x14ac:dyDescent="0.25">
      <c r="B24" s="125">
        <v>22</v>
      </c>
      <c r="C24" s="126">
        <v>28.75</v>
      </c>
      <c r="D24" s="6">
        <f t="shared" si="5"/>
        <v>28.653999999999996</v>
      </c>
      <c r="E24" s="6">
        <f t="shared" si="6"/>
        <v>28.8248</v>
      </c>
      <c r="F24" s="6">
        <f t="shared" si="7"/>
        <v>28.483199999999993</v>
      </c>
      <c r="G24" s="6">
        <f t="shared" si="8"/>
        <v>-8.5400000000001697E-2</v>
      </c>
      <c r="H24" s="6">
        <f t="shared" si="9"/>
        <v>28.585799999999999</v>
      </c>
      <c r="I24" s="95"/>
      <c r="J24" s="65">
        <f t="shared" si="0"/>
        <v>29.158393432307403</v>
      </c>
      <c r="K24" s="65">
        <f t="shared" si="1"/>
        <v>29.368554093827917</v>
      </c>
      <c r="L24" s="6">
        <f t="shared" si="2"/>
        <v>28.948232770786888</v>
      </c>
      <c r="M24" s="6">
        <f t="shared" si="3"/>
        <v>-9.0068854937363552E-2</v>
      </c>
      <c r="N24" s="6">
        <f t="shared" si="4"/>
        <v>28.623143873056833</v>
      </c>
      <c r="O24" s="9"/>
    </row>
    <row r="25" spans="2:15" x14ac:dyDescent="0.25">
      <c r="B25" s="125">
        <v>23</v>
      </c>
      <c r="C25" s="126">
        <v>28.02</v>
      </c>
      <c r="D25" s="6">
        <f t="shared" si="5"/>
        <v>28.782</v>
      </c>
      <c r="E25" s="6">
        <f t="shared" si="6"/>
        <v>28.794</v>
      </c>
      <c r="F25" s="6">
        <f t="shared" si="7"/>
        <v>28.77</v>
      </c>
      <c r="G25" s="6">
        <f t="shared" si="8"/>
        <v>-6.0000000000002274E-3</v>
      </c>
      <c r="H25" s="6">
        <f t="shared" si="9"/>
        <v>28.397799999999989</v>
      </c>
      <c r="I25" s="95"/>
      <c r="J25" s="65">
        <f t="shared" si="0"/>
        <v>29.035875402615179</v>
      </c>
      <c r="K25" s="65">
        <f t="shared" si="1"/>
        <v>29.305505895371759</v>
      </c>
      <c r="L25" s="6">
        <f t="shared" si="2"/>
        <v>28.766244909858599</v>
      </c>
      <c r="M25" s="6">
        <f t="shared" si="3"/>
        <v>-0.11555592546710564</v>
      </c>
      <c r="N25" s="6">
        <f t="shared" si="4"/>
        <v>28.858163915849524</v>
      </c>
      <c r="O25" s="9"/>
    </row>
    <row r="26" spans="2:15" x14ac:dyDescent="0.25">
      <c r="B26" s="125">
        <v>24</v>
      </c>
      <c r="C26" s="126">
        <v>26.69</v>
      </c>
      <c r="D26" s="6">
        <f t="shared" si="5"/>
        <v>28.583999999999996</v>
      </c>
      <c r="E26" s="6">
        <f t="shared" si="6"/>
        <v>28.759599999999995</v>
      </c>
      <c r="F26" s="6">
        <f t="shared" si="7"/>
        <v>28.408399999999997</v>
      </c>
      <c r="G26" s="6">
        <f t="shared" si="8"/>
        <v>-8.7799999999999656E-2</v>
      </c>
      <c r="H26" s="6">
        <f t="shared" si="9"/>
        <v>28.763999999999999</v>
      </c>
      <c r="I26" s="95"/>
      <c r="J26" s="65">
        <f t="shared" si="0"/>
        <v>28.731112781830625</v>
      </c>
      <c r="K26" s="65">
        <f t="shared" si="1"/>
        <v>29.224616747544783</v>
      </c>
      <c r="L26" s="6">
        <f t="shared" si="2"/>
        <v>28.237608816116467</v>
      </c>
      <c r="M26" s="6">
        <f t="shared" si="3"/>
        <v>-0.21150169959178203</v>
      </c>
      <c r="N26" s="6">
        <f t="shared" si="4"/>
        <v>28.650688984391493</v>
      </c>
      <c r="O26" s="9"/>
    </row>
    <row r="27" spans="2:15" x14ac:dyDescent="0.25">
      <c r="B27" s="125">
        <v>25</v>
      </c>
      <c r="C27" s="126">
        <v>25.08</v>
      </c>
      <c r="D27" s="6">
        <f t="shared" si="5"/>
        <v>27.555999999999994</v>
      </c>
      <c r="E27" s="6">
        <f t="shared" si="6"/>
        <v>28.472799999999996</v>
      </c>
      <c r="F27" s="6">
        <f t="shared" si="7"/>
        <v>26.639199999999992</v>
      </c>
      <c r="G27" s="6">
        <f t="shared" si="8"/>
        <v>-0.45840000000000103</v>
      </c>
      <c r="H27" s="6">
        <f t="shared" si="9"/>
        <v>28.320599999999999</v>
      </c>
      <c r="I27" s="95"/>
      <c r="J27" s="65">
        <f t="shared" si="0"/>
        <v>28.118778947281434</v>
      </c>
      <c r="K27" s="65">
        <f t="shared" si="1"/>
        <v>29.076565557830534</v>
      </c>
      <c r="L27" s="6">
        <f t="shared" si="2"/>
        <v>27.160992336732335</v>
      </c>
      <c r="M27" s="6">
        <f t="shared" si="3"/>
        <v>-0.41047997594961422</v>
      </c>
      <c r="N27" s="6">
        <f t="shared" si="4"/>
        <v>28.026107116524685</v>
      </c>
      <c r="O27" s="9"/>
    </row>
    <row r="28" spans="2:15" x14ac:dyDescent="0.25">
      <c r="B28" s="125">
        <v>26</v>
      </c>
      <c r="C28" s="126">
        <v>23.39</v>
      </c>
      <c r="D28" s="6">
        <f t="shared" si="5"/>
        <v>26.386000000000003</v>
      </c>
      <c r="E28" s="6">
        <f t="shared" si="6"/>
        <v>27.992399999999996</v>
      </c>
      <c r="F28" s="6">
        <f t="shared" si="7"/>
        <v>24.779600000000009</v>
      </c>
      <c r="G28" s="6">
        <f t="shared" si="8"/>
        <v>-0.80319999999999681</v>
      </c>
      <c r="H28" s="6">
        <f t="shared" si="9"/>
        <v>26.180799999999991</v>
      </c>
      <c r="I28" s="95"/>
      <c r="J28" s="65">
        <f t="shared" si="0"/>
        <v>27.207145263097004</v>
      </c>
      <c r="K28" s="65">
        <f t="shared" si="1"/>
        <v>28.789229574665804</v>
      </c>
      <c r="L28" s="6">
        <f t="shared" si="2"/>
        <v>25.625060951528205</v>
      </c>
      <c r="M28" s="6">
        <f t="shared" si="3"/>
        <v>-0.67803613352948544</v>
      </c>
      <c r="N28" s="6">
        <f t="shared" si="4"/>
        <v>26.750512360782722</v>
      </c>
      <c r="O28" s="9"/>
    </row>
    <row r="29" spans="2:15" x14ac:dyDescent="0.25">
      <c r="B29" s="125">
        <v>27</v>
      </c>
      <c r="C29" s="126">
        <v>22.65</v>
      </c>
      <c r="D29" s="6">
        <f t="shared" si="5"/>
        <v>25.165999999999997</v>
      </c>
      <c r="E29" s="6">
        <f t="shared" si="6"/>
        <v>27.294799999999999</v>
      </c>
      <c r="F29" s="6">
        <f t="shared" si="7"/>
        <v>23.037199999999995</v>
      </c>
      <c r="G29" s="6">
        <f t="shared" si="8"/>
        <v>-1.0644000000000009</v>
      </c>
      <c r="H29" s="6">
        <f t="shared" si="9"/>
        <v>23.976400000000012</v>
      </c>
      <c r="I29" s="95"/>
      <c r="J29" s="65">
        <f t="shared" si="0"/>
        <v>26.0620016841679</v>
      </c>
      <c r="K29" s="65">
        <f t="shared" si="1"/>
        <v>28.314604281195162</v>
      </c>
      <c r="L29" s="6">
        <f t="shared" si="2"/>
        <v>23.809399087140637</v>
      </c>
      <c r="M29" s="6">
        <f t="shared" si="3"/>
        <v>-0.96540111301168408</v>
      </c>
      <c r="N29" s="6">
        <f t="shared" si="4"/>
        <v>24.94702481799872</v>
      </c>
      <c r="O29" s="9"/>
    </row>
    <row r="30" spans="2:15" x14ac:dyDescent="0.25">
      <c r="B30" s="125">
        <v>28</v>
      </c>
      <c r="C30" s="126">
        <v>22.02</v>
      </c>
      <c r="D30" s="6">
        <f t="shared" si="5"/>
        <v>23.966000000000001</v>
      </c>
      <c r="E30" s="6">
        <f t="shared" si="6"/>
        <v>26.331599999999998</v>
      </c>
      <c r="F30" s="6">
        <f t="shared" si="7"/>
        <v>21.600400000000004</v>
      </c>
      <c r="G30" s="6">
        <f t="shared" si="8"/>
        <v>-1.1827999999999985</v>
      </c>
      <c r="H30" s="6">
        <f t="shared" si="9"/>
        <v>21.972799999999992</v>
      </c>
      <c r="I30" s="95"/>
      <c r="J30" s="65">
        <f t="shared" si="0"/>
        <v>25.038401178917528</v>
      </c>
      <c r="K30" s="65">
        <f t="shared" si="1"/>
        <v>27.638823502086982</v>
      </c>
      <c r="L30" s="6">
        <f t="shared" si="2"/>
        <v>22.437978855748074</v>
      </c>
      <c r="M30" s="6">
        <f t="shared" si="3"/>
        <v>-1.114466709929766</v>
      </c>
      <c r="N30" s="6">
        <f t="shared" si="4"/>
        <v>22.843997974128953</v>
      </c>
      <c r="O30" s="9"/>
    </row>
    <row r="31" spans="2:15" x14ac:dyDescent="0.25">
      <c r="B31" s="125">
        <v>29</v>
      </c>
      <c r="C31" s="126">
        <v>23.39</v>
      </c>
      <c r="D31" s="6">
        <f t="shared" si="5"/>
        <v>23.306000000000001</v>
      </c>
      <c r="E31" s="6">
        <f t="shared" si="6"/>
        <v>25.275999999999996</v>
      </c>
      <c r="F31" s="6">
        <f t="shared" si="7"/>
        <v>21.336000000000006</v>
      </c>
      <c r="G31" s="6">
        <f t="shared" si="8"/>
        <v>-0.98499999999999766</v>
      </c>
      <c r="H31" s="6">
        <f t="shared" si="9"/>
        <v>20.417600000000007</v>
      </c>
      <c r="I31" s="95"/>
      <c r="J31" s="65">
        <f t="shared" si="0"/>
        <v>24.132880825242268</v>
      </c>
      <c r="K31" s="65">
        <f t="shared" si="1"/>
        <v>26.858696805136145</v>
      </c>
      <c r="L31" s="6">
        <f t="shared" si="2"/>
        <v>21.40706484534839</v>
      </c>
      <c r="M31" s="6">
        <f t="shared" si="3"/>
        <v>-1.1682068485259474</v>
      </c>
      <c r="N31" s="6">
        <f t="shared" si="4"/>
        <v>21.323512145818309</v>
      </c>
      <c r="O31" s="9"/>
    </row>
    <row r="32" spans="2:15" x14ac:dyDescent="0.25">
      <c r="B32" s="125">
        <v>30</v>
      </c>
      <c r="C32" s="126">
        <v>26.35</v>
      </c>
      <c r="D32" s="6">
        <f t="shared" si="5"/>
        <v>23.560000000000002</v>
      </c>
      <c r="E32" s="6">
        <f t="shared" si="6"/>
        <v>24.476800000000001</v>
      </c>
      <c r="F32" s="6">
        <f t="shared" si="7"/>
        <v>22.643200000000004</v>
      </c>
      <c r="G32" s="6">
        <f t="shared" si="8"/>
        <v>-0.45839999999999925</v>
      </c>
      <c r="H32" s="6">
        <f t="shared" si="9"/>
        <v>20.351000000000006</v>
      </c>
      <c r="I32" s="95"/>
      <c r="J32" s="65">
        <f t="shared" si="0"/>
        <v>23.910016577669584</v>
      </c>
      <c r="K32" s="65">
        <f t="shared" si="1"/>
        <v>26.040952011167981</v>
      </c>
      <c r="L32" s="6">
        <f t="shared" si="2"/>
        <v>21.779081144171187</v>
      </c>
      <c r="M32" s="6">
        <f t="shared" si="3"/>
        <v>-0.91325804292788459</v>
      </c>
      <c r="N32" s="6">
        <f>$L$31+$M$31</f>
        <v>20.238857996822443</v>
      </c>
      <c r="O32" s="9"/>
    </row>
    <row r="33" spans="2:15" x14ac:dyDescent="0.25">
      <c r="B33" s="125">
        <v>1</v>
      </c>
      <c r="C33" s="95"/>
      <c r="D33" s="6"/>
      <c r="E33" s="6"/>
      <c r="F33" s="6"/>
      <c r="G33" s="6"/>
      <c r="H33" s="65">
        <f t="shared" ref="H33:H38" si="10">$F$32+$G$32*B33</f>
        <v>22.184800000000003</v>
      </c>
      <c r="I33" s="95"/>
      <c r="J33" s="95"/>
      <c r="K33" s="95"/>
      <c r="L33" s="95"/>
      <c r="M33" s="95"/>
      <c r="N33" s="6">
        <f t="shared" ref="N33:N38" si="11">$L$32+$M$32*B33</f>
        <v>20.865823101243301</v>
      </c>
      <c r="O33" s="9"/>
    </row>
    <row r="34" spans="2:15" x14ac:dyDescent="0.25">
      <c r="B34" s="125">
        <v>2</v>
      </c>
      <c r="C34" s="95"/>
      <c r="D34" s="95"/>
      <c r="E34" s="95"/>
      <c r="F34" s="95"/>
      <c r="G34" s="95"/>
      <c r="H34" s="65">
        <f t="shared" si="10"/>
        <v>21.726400000000005</v>
      </c>
      <c r="I34" s="95"/>
      <c r="J34" s="95"/>
      <c r="K34" s="95"/>
      <c r="L34" s="95"/>
      <c r="M34" s="95"/>
      <c r="N34" s="6">
        <f t="shared" si="11"/>
        <v>19.952565058315418</v>
      </c>
      <c r="O34" s="9"/>
    </row>
    <row r="35" spans="2:15" x14ac:dyDescent="0.25">
      <c r="B35" s="125">
        <v>3</v>
      </c>
      <c r="C35" s="95"/>
      <c r="D35" s="95"/>
      <c r="E35" s="95"/>
      <c r="F35" s="95"/>
      <c r="G35" s="95"/>
      <c r="H35" s="65">
        <f t="shared" si="10"/>
        <v>21.268000000000008</v>
      </c>
      <c r="I35" s="95"/>
      <c r="J35" s="95"/>
      <c r="K35" s="95"/>
      <c r="L35" s="95"/>
      <c r="M35" s="95"/>
      <c r="N35" s="6">
        <f t="shared" si="11"/>
        <v>19.039307015387532</v>
      </c>
      <c r="O35" s="9"/>
    </row>
    <row r="36" spans="2:15" x14ac:dyDescent="0.25">
      <c r="B36" s="125">
        <v>4</v>
      </c>
      <c r="C36" s="95"/>
      <c r="D36" s="95"/>
      <c r="E36" s="95"/>
      <c r="F36" s="95"/>
      <c r="G36" s="95"/>
      <c r="H36" s="65">
        <f t="shared" si="10"/>
        <v>20.809600000000007</v>
      </c>
      <c r="I36" s="95"/>
      <c r="J36" s="95"/>
      <c r="K36" s="95"/>
      <c r="L36" s="95"/>
      <c r="M36" s="95"/>
      <c r="N36" s="6">
        <f t="shared" si="11"/>
        <v>18.12604897245965</v>
      </c>
      <c r="O36" s="9"/>
    </row>
    <row r="37" spans="2:15" x14ac:dyDescent="0.25">
      <c r="B37" s="125">
        <v>5</v>
      </c>
      <c r="C37" s="95"/>
      <c r="D37" s="95"/>
      <c r="E37" s="95"/>
      <c r="F37" s="95"/>
      <c r="G37" s="95"/>
      <c r="H37" s="65">
        <f t="shared" si="10"/>
        <v>20.351200000000006</v>
      </c>
      <c r="I37" s="95"/>
      <c r="J37" s="95"/>
      <c r="K37" s="95"/>
      <c r="L37" s="95"/>
      <c r="M37" s="95"/>
      <c r="N37" s="6">
        <f t="shared" si="11"/>
        <v>17.212790929531764</v>
      </c>
      <c r="O37" s="9"/>
    </row>
    <row r="38" spans="2:15" x14ac:dyDescent="0.25">
      <c r="B38" s="125">
        <v>6</v>
      </c>
      <c r="C38" s="95"/>
      <c r="D38" s="95"/>
      <c r="E38" s="95"/>
      <c r="F38" s="95"/>
      <c r="G38" s="95"/>
      <c r="H38" s="65">
        <f t="shared" si="10"/>
        <v>19.892800000000008</v>
      </c>
      <c r="I38" s="95"/>
      <c r="J38" s="95"/>
      <c r="K38" s="95"/>
      <c r="L38" s="95"/>
      <c r="M38" s="95"/>
      <c r="N38" s="6">
        <f t="shared" si="11"/>
        <v>16.299532886603878</v>
      </c>
      <c r="O38" s="9"/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76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V38"/>
  <sheetViews>
    <sheetView zoomScale="90" zoomScaleNormal="90" workbookViewId="0">
      <selection activeCell="A2" sqref="A2"/>
    </sheetView>
  </sheetViews>
  <sheetFormatPr defaultColWidth="8.85546875" defaultRowHeight="15" x14ac:dyDescent="0.25"/>
  <cols>
    <col min="1" max="7" width="8.85546875" style="7"/>
    <col min="8" max="8" width="11" style="7" customWidth="1"/>
    <col min="9" max="13" width="8.85546875" style="7"/>
    <col min="14" max="14" width="9.7109375" style="7" customWidth="1"/>
    <col min="15" max="16" width="8.85546875" style="7"/>
    <col min="17" max="18" width="12.42578125" style="7" customWidth="1"/>
    <col min="19" max="16384" width="8.85546875" style="7"/>
  </cols>
  <sheetData>
    <row r="1" spans="1:22" x14ac:dyDescent="0.25">
      <c r="A1" s="14" t="s">
        <v>175</v>
      </c>
      <c r="P1" s="95">
        <v>0.1958628230865356</v>
      </c>
      <c r="Q1" s="123" t="s">
        <v>4</v>
      </c>
      <c r="R1" s="14" t="s">
        <v>108</v>
      </c>
      <c r="T1" s="95">
        <v>0.3</v>
      </c>
      <c r="U1" s="123" t="s">
        <v>4</v>
      </c>
      <c r="V1" s="14" t="s">
        <v>107</v>
      </c>
    </row>
    <row r="2" spans="1:22" ht="18" x14ac:dyDescent="0.35">
      <c r="B2" s="127" t="s">
        <v>0</v>
      </c>
      <c r="C2" s="127" t="s">
        <v>2</v>
      </c>
      <c r="D2" s="127" t="s">
        <v>8</v>
      </c>
      <c r="E2" s="127" t="s">
        <v>9</v>
      </c>
      <c r="F2" s="128" t="s">
        <v>14</v>
      </c>
      <c r="G2" s="128" t="s">
        <v>15</v>
      </c>
      <c r="H2" s="128" t="s">
        <v>10</v>
      </c>
      <c r="I2" s="102"/>
      <c r="J2" s="127" t="s">
        <v>11</v>
      </c>
      <c r="K2" s="127" t="s">
        <v>12</v>
      </c>
      <c r="L2" s="128" t="s">
        <v>14</v>
      </c>
      <c r="M2" s="128" t="s">
        <v>15</v>
      </c>
      <c r="N2" s="128" t="s">
        <v>13</v>
      </c>
      <c r="O2" s="70"/>
      <c r="Q2" s="70" t="s">
        <v>104</v>
      </c>
      <c r="R2" s="70" t="s">
        <v>103</v>
      </c>
      <c r="S2" s="70"/>
      <c r="U2" s="70" t="s">
        <v>104</v>
      </c>
      <c r="V2" s="70" t="s">
        <v>103</v>
      </c>
    </row>
    <row r="3" spans="1:22" x14ac:dyDescent="0.25">
      <c r="B3" s="125">
        <v>1</v>
      </c>
      <c r="C3" s="126">
        <v>26.21</v>
      </c>
      <c r="D3" s="95"/>
      <c r="E3" s="95"/>
      <c r="F3" s="95"/>
      <c r="G3" s="95"/>
      <c r="H3" s="95"/>
      <c r="I3" s="95"/>
      <c r="J3" s="95">
        <f>C3</f>
        <v>26.21</v>
      </c>
      <c r="K3" s="95">
        <f>C3</f>
        <v>26.21</v>
      </c>
      <c r="L3" s="95"/>
      <c r="M3" s="95"/>
      <c r="N3" s="95"/>
      <c r="P3" s="66" t="s">
        <v>102</v>
      </c>
      <c r="Q3" s="65">
        <f>(SUM(C12:C32)-SUM(H12:H32))/COUNT(C12:C32)</f>
        <v>-0.49709523809524181</v>
      </c>
      <c r="R3" s="65">
        <f>(SUM(C5:C32)-SUM(N5:N32))/COUNT(C5:C32)</f>
        <v>-0.50596480280108025</v>
      </c>
      <c r="T3" s="66" t="s">
        <v>102</v>
      </c>
      <c r="U3" s="65">
        <f>'TU11.3'!Q3</f>
        <v>-0.49709523809524181</v>
      </c>
      <c r="V3" s="65">
        <f>'TU11.3'!R3</f>
        <v>-0.96813879063475794</v>
      </c>
    </row>
    <row r="4" spans="1:22" x14ac:dyDescent="0.25">
      <c r="B4" s="125">
        <v>2</v>
      </c>
      <c r="C4" s="126">
        <v>25.72</v>
      </c>
      <c r="D4" s="95"/>
      <c r="E4" s="95"/>
      <c r="F4" s="95"/>
      <c r="G4" s="95"/>
      <c r="H4" s="95"/>
      <c r="I4" s="95"/>
      <c r="J4" s="65">
        <f t="shared" ref="J4:J32" si="0">$P$1*C3+(1-$P$1)*J3</f>
        <v>26.21</v>
      </c>
      <c r="K4" s="65">
        <f t="shared" ref="K4:K32" si="1">$P$1*J3+(1-$P$1)*K3</f>
        <v>26.21</v>
      </c>
      <c r="L4" s="6">
        <f t="shared" ref="L4:L32" si="2">2*J4-K4</f>
        <v>26.21</v>
      </c>
      <c r="M4" s="6">
        <f t="shared" ref="M4:M32" si="3">($P$1/(1-$P$1))*(J4-K4)</f>
        <v>0</v>
      </c>
      <c r="N4" s="6">
        <f t="shared" ref="N4:N31" si="4">L3+M3</f>
        <v>0</v>
      </c>
      <c r="O4" s="9"/>
      <c r="P4" s="66" t="s">
        <v>101</v>
      </c>
      <c r="Q4" s="65">
        <f>SUMXMY2(C12:C32,H12:H32)/COUNT(C12:C32)</f>
        <v>11.501285910476184</v>
      </c>
      <c r="R4" s="65">
        <f>SUMXMY2(C5:C32,N5:N32)/COUNT(C5:C32)</f>
        <v>11.066187589266573</v>
      </c>
      <c r="T4" s="66" t="s">
        <v>101</v>
      </c>
      <c r="U4" s="65">
        <f>'TU11.3'!Q4</f>
        <v>11.501285910476184</v>
      </c>
      <c r="V4" s="65">
        <f>'TU11.3'!R4</f>
        <v>12.5159166002225</v>
      </c>
    </row>
    <row r="5" spans="1:22" x14ac:dyDescent="0.25">
      <c r="B5" s="125">
        <v>3</v>
      </c>
      <c r="C5" s="126">
        <v>27.51</v>
      </c>
      <c r="D5" s="95"/>
      <c r="E5" s="95"/>
      <c r="F5" s="95"/>
      <c r="G5" s="95"/>
      <c r="H5" s="95"/>
      <c r="I5" s="95"/>
      <c r="J5" s="65">
        <f t="shared" si="0"/>
        <v>26.1140272166876</v>
      </c>
      <c r="K5" s="65">
        <f t="shared" si="1"/>
        <v>26.21</v>
      </c>
      <c r="L5" s="6">
        <f t="shared" si="2"/>
        <v>26.018054433375198</v>
      </c>
      <c r="M5" s="6">
        <f t="shared" si="3"/>
        <v>-2.3375987106068263E-2</v>
      </c>
      <c r="N5" s="6">
        <f t="shared" si="4"/>
        <v>26.21</v>
      </c>
      <c r="O5" s="9"/>
    </row>
    <row r="6" spans="1:22" x14ac:dyDescent="0.25">
      <c r="B6" s="125">
        <v>4</v>
      </c>
      <c r="C6" s="126">
        <v>28.32</v>
      </c>
      <c r="D6" s="6"/>
      <c r="E6" s="95"/>
      <c r="F6" s="95"/>
      <c r="G6" s="95"/>
      <c r="H6" s="95"/>
      <c r="I6" s="95"/>
      <c r="J6" s="65">
        <f t="shared" si="0"/>
        <v>26.387446386979136</v>
      </c>
      <c r="K6" s="65">
        <f t="shared" si="1"/>
        <v>26.191202499720962</v>
      </c>
      <c r="L6" s="6">
        <f t="shared" si="2"/>
        <v>26.583690274237309</v>
      </c>
      <c r="M6" s="6">
        <f t="shared" si="3"/>
        <v>4.7798911523273584E-2</v>
      </c>
      <c r="N6" s="6">
        <f t="shared" si="4"/>
        <v>25.99467844626913</v>
      </c>
      <c r="O6" s="9"/>
      <c r="P6" s="7" t="s">
        <v>106</v>
      </c>
      <c r="T6" s="7" t="s">
        <v>105</v>
      </c>
    </row>
    <row r="7" spans="1:22" x14ac:dyDescent="0.25">
      <c r="B7" s="125">
        <v>5</v>
      </c>
      <c r="C7" s="126">
        <v>28.42</v>
      </c>
      <c r="D7" s="6">
        <f t="shared" ref="D7:D32" si="5">AVERAGE(C3:C7)</f>
        <v>27.236000000000001</v>
      </c>
      <c r="E7" s="95"/>
      <c r="F7" s="95"/>
      <c r="G7" s="95"/>
      <c r="H7" s="95"/>
      <c r="I7" s="95"/>
      <c r="J7" s="65">
        <f t="shared" si="0"/>
        <v>26.76596179339149</v>
      </c>
      <c r="K7" s="65">
        <f t="shared" si="1"/>
        <v>26.229639381492827</v>
      </c>
      <c r="L7" s="6">
        <f t="shared" si="2"/>
        <v>27.302284205290153</v>
      </c>
      <c r="M7" s="6">
        <f t="shared" si="3"/>
        <v>0.1306314702203554</v>
      </c>
      <c r="N7" s="6">
        <f t="shared" si="4"/>
        <v>26.631489185760582</v>
      </c>
      <c r="O7" s="9"/>
    </row>
    <row r="8" spans="1:22" x14ac:dyDescent="0.25">
      <c r="B8" s="125">
        <v>6</v>
      </c>
      <c r="C8" s="126">
        <v>28.28</v>
      </c>
      <c r="D8" s="6">
        <f t="shared" si="5"/>
        <v>27.65</v>
      </c>
      <c r="E8" s="95"/>
      <c r="F8" s="95"/>
      <c r="G8" s="95"/>
      <c r="H8" s="95"/>
      <c r="I8" s="95"/>
      <c r="J8" s="65">
        <f t="shared" si="0"/>
        <v>27.089926386030825</v>
      </c>
      <c r="K8" s="65">
        <f t="shared" si="1"/>
        <v>26.334685003171881</v>
      </c>
      <c r="L8" s="6">
        <f t="shared" si="2"/>
        <v>27.84516776888977</v>
      </c>
      <c r="M8" s="6">
        <f t="shared" si="3"/>
        <v>0.1839533273742055</v>
      </c>
      <c r="N8" s="6">
        <f t="shared" si="4"/>
        <v>27.432915675510507</v>
      </c>
      <c r="O8" s="9"/>
      <c r="P8" s="25"/>
      <c r="Q8" s="25"/>
      <c r="T8" s="25"/>
      <c r="U8" s="25"/>
      <c r="V8" s="25"/>
    </row>
    <row r="9" spans="1:22" x14ac:dyDescent="0.25">
      <c r="B9" s="125">
        <v>7</v>
      </c>
      <c r="C9" s="126">
        <v>27.1</v>
      </c>
      <c r="D9" s="6">
        <f t="shared" si="5"/>
        <v>27.925999999999998</v>
      </c>
      <c r="E9" s="6"/>
      <c r="F9" s="6"/>
      <c r="G9" s="6"/>
      <c r="H9" s="95"/>
      <c r="I9" s="95"/>
      <c r="J9" s="65">
        <f t="shared" si="0"/>
        <v>27.323017563743626</v>
      </c>
      <c r="K9" s="65">
        <f t="shared" si="1"/>
        <v>26.482608712530414</v>
      </c>
      <c r="L9" s="6">
        <f t="shared" si="2"/>
        <v>28.163426414956838</v>
      </c>
      <c r="M9" s="6">
        <f t="shared" si="3"/>
        <v>0.20469747559407461</v>
      </c>
      <c r="N9" s="6">
        <f t="shared" si="4"/>
        <v>28.029121096263975</v>
      </c>
      <c r="O9" s="9"/>
    </row>
    <row r="10" spans="1:22" x14ac:dyDescent="0.25">
      <c r="B10" s="125">
        <v>8</v>
      </c>
      <c r="C10" s="126">
        <v>32.35</v>
      </c>
      <c r="D10" s="6">
        <f t="shared" si="5"/>
        <v>28.893999999999998</v>
      </c>
      <c r="E10" s="6"/>
      <c r="F10" s="6"/>
      <c r="G10" s="6"/>
      <c r="H10" s="6"/>
      <c r="I10" s="95"/>
      <c r="J10" s="65">
        <f t="shared" si="0"/>
        <v>27.279336714110919</v>
      </c>
      <c r="K10" s="65">
        <f t="shared" si="1"/>
        <v>26.647213562675947</v>
      </c>
      <c r="L10" s="6">
        <f t="shared" si="2"/>
        <v>27.91145986554589</v>
      </c>
      <c r="M10" s="6">
        <f t="shared" si="3"/>
        <v>0.15396555280982191</v>
      </c>
      <c r="N10" s="6">
        <f t="shared" si="4"/>
        <v>28.368123890550912</v>
      </c>
      <c r="O10" s="9"/>
    </row>
    <row r="11" spans="1:22" x14ac:dyDescent="0.25">
      <c r="B11" s="125">
        <v>9</v>
      </c>
      <c r="C11" s="126">
        <v>35.33</v>
      </c>
      <c r="D11" s="6">
        <f t="shared" si="5"/>
        <v>30.296000000000003</v>
      </c>
      <c r="E11" s="6">
        <f t="shared" ref="E11:E32" si="6">AVERAGE(D7:D11)</f>
        <v>28.400399999999998</v>
      </c>
      <c r="F11" s="6">
        <f t="shared" ref="F11:F32" si="7">2*D11-E11</f>
        <v>32.191600000000008</v>
      </c>
      <c r="G11" s="6">
        <f t="shared" ref="G11:G32" si="8">(2/4)*(D11-E11)</f>
        <v>0.94780000000000264</v>
      </c>
      <c r="H11" s="6"/>
      <c r="I11" s="95"/>
      <c r="J11" s="65">
        <f t="shared" si="0"/>
        <v>28.272491140206405</v>
      </c>
      <c r="K11" s="65">
        <f t="shared" si="1"/>
        <v>26.771022987654359</v>
      </c>
      <c r="L11" s="6">
        <f t="shared" si="2"/>
        <v>29.773959292758452</v>
      </c>
      <c r="M11" s="6">
        <f t="shared" si="3"/>
        <v>0.36571097516240808</v>
      </c>
      <c r="N11" s="6">
        <f t="shared" si="4"/>
        <v>28.065425418355712</v>
      </c>
      <c r="O11" s="9"/>
    </row>
    <row r="12" spans="1:22" x14ac:dyDescent="0.25">
      <c r="B12" s="125">
        <v>10</v>
      </c>
      <c r="C12" s="126">
        <v>33.35</v>
      </c>
      <c r="D12" s="6">
        <f t="shared" si="5"/>
        <v>31.282</v>
      </c>
      <c r="E12" s="6">
        <f t="shared" si="6"/>
        <v>29.209600000000002</v>
      </c>
      <c r="F12" s="6">
        <f t="shared" si="7"/>
        <v>33.354399999999998</v>
      </c>
      <c r="G12" s="6">
        <f t="shared" si="8"/>
        <v>1.0361999999999991</v>
      </c>
      <c r="H12" s="6">
        <f t="shared" ref="H12:H32" si="9">F11+G11</f>
        <v>33.139400000000009</v>
      </c>
      <c r="I12" s="95"/>
      <c r="J12" s="65">
        <f t="shared" si="0"/>
        <v>29.654794749443816</v>
      </c>
      <c r="K12" s="65">
        <f t="shared" si="1"/>
        <v>27.065104778787727</v>
      </c>
      <c r="L12" s="6">
        <f t="shared" si="2"/>
        <v>32.244484720099905</v>
      </c>
      <c r="M12" s="6">
        <f t="shared" si="3"/>
        <v>0.63076798727112315</v>
      </c>
      <c r="N12" s="6">
        <f t="shared" si="4"/>
        <v>30.139670267920859</v>
      </c>
      <c r="O12" s="9"/>
    </row>
    <row r="13" spans="1:22" x14ac:dyDescent="0.25">
      <c r="B13" s="125">
        <v>11</v>
      </c>
      <c r="C13" s="126">
        <v>36.409999999999997</v>
      </c>
      <c r="D13" s="6">
        <f t="shared" si="5"/>
        <v>32.908000000000001</v>
      </c>
      <c r="E13" s="6">
        <f t="shared" si="6"/>
        <v>30.261199999999995</v>
      </c>
      <c r="F13" s="6">
        <f t="shared" si="7"/>
        <v>35.554800000000007</v>
      </c>
      <c r="G13" s="6">
        <f t="shared" si="8"/>
        <v>1.323400000000003</v>
      </c>
      <c r="H13" s="6">
        <f t="shared" si="9"/>
        <v>34.390599999999999</v>
      </c>
      <c r="I13" s="95"/>
      <c r="J13" s="65">
        <f t="shared" si="0"/>
        <v>30.37854808170194</v>
      </c>
      <c r="K13" s="65">
        <f t="shared" si="1"/>
        <v>27.572328767359316</v>
      </c>
      <c r="L13" s="6">
        <f t="shared" si="2"/>
        <v>33.184767396044563</v>
      </c>
      <c r="M13" s="6">
        <f t="shared" si="3"/>
        <v>0.68350780549256496</v>
      </c>
      <c r="N13" s="6">
        <f t="shared" si="4"/>
        <v>32.875252707371025</v>
      </c>
      <c r="O13" s="9"/>
    </row>
    <row r="14" spans="1:22" x14ac:dyDescent="0.25">
      <c r="B14" s="125">
        <v>12</v>
      </c>
      <c r="C14" s="126">
        <v>29.14</v>
      </c>
      <c r="D14" s="6">
        <f t="shared" si="5"/>
        <v>33.315999999999995</v>
      </c>
      <c r="E14" s="6">
        <f t="shared" si="6"/>
        <v>31.339199999999998</v>
      </c>
      <c r="F14" s="6">
        <f t="shared" si="7"/>
        <v>35.292799999999993</v>
      </c>
      <c r="G14" s="6">
        <f t="shared" si="8"/>
        <v>0.98839999999999861</v>
      </c>
      <c r="H14" s="6">
        <f t="shared" si="9"/>
        <v>36.878200000000007</v>
      </c>
      <c r="I14" s="95"/>
      <c r="J14" s="65">
        <f t="shared" si="0"/>
        <v>31.559885281730498</v>
      </c>
      <c r="K14" s="65">
        <f t="shared" si="1"/>
        <v>28.121962804466424</v>
      </c>
      <c r="L14" s="6">
        <f t="shared" si="2"/>
        <v>34.997807758994568</v>
      </c>
      <c r="M14" s="6">
        <f t="shared" si="3"/>
        <v>0.83737106215406321</v>
      </c>
      <c r="N14" s="6">
        <f t="shared" si="4"/>
        <v>33.868275201537131</v>
      </c>
      <c r="O14" s="9"/>
    </row>
    <row r="15" spans="1:22" x14ac:dyDescent="0.25">
      <c r="B15" s="125">
        <v>13</v>
      </c>
      <c r="C15" s="126">
        <v>28.42</v>
      </c>
      <c r="D15" s="6">
        <f t="shared" si="5"/>
        <v>32.530000000000008</v>
      </c>
      <c r="E15" s="6">
        <f t="shared" si="6"/>
        <v>32.066400000000002</v>
      </c>
      <c r="F15" s="6">
        <f t="shared" si="7"/>
        <v>32.993600000000015</v>
      </c>
      <c r="G15" s="6">
        <f t="shared" si="8"/>
        <v>0.23180000000000334</v>
      </c>
      <c r="H15" s="6">
        <f t="shared" si="9"/>
        <v>36.281199999999991</v>
      </c>
      <c r="I15" s="95"/>
      <c r="J15" s="65">
        <f t="shared" si="0"/>
        <v>31.08591971890521</v>
      </c>
      <c r="K15" s="65">
        <f t="shared" si="1"/>
        <v>28.795324006416024</v>
      </c>
      <c r="L15" s="6">
        <f t="shared" si="2"/>
        <v>33.376515431394395</v>
      </c>
      <c r="M15" s="6">
        <f t="shared" si="3"/>
        <v>0.55791792206409341</v>
      </c>
      <c r="N15" s="6">
        <f t="shared" si="4"/>
        <v>35.835178821148631</v>
      </c>
      <c r="O15" s="9"/>
    </row>
    <row r="16" spans="1:22" x14ac:dyDescent="0.25">
      <c r="B16" s="125">
        <v>14</v>
      </c>
      <c r="C16" s="126">
        <v>28.58</v>
      </c>
      <c r="D16" s="6">
        <f t="shared" si="5"/>
        <v>31.179999999999996</v>
      </c>
      <c r="E16" s="6">
        <f t="shared" si="6"/>
        <v>32.243200000000002</v>
      </c>
      <c r="F16" s="6">
        <f t="shared" si="7"/>
        <v>30.116799999999991</v>
      </c>
      <c r="G16" s="6">
        <f t="shared" si="8"/>
        <v>-0.53160000000000274</v>
      </c>
      <c r="H16" s="6">
        <f t="shared" si="9"/>
        <v>33.225400000000022</v>
      </c>
      <c r="I16" s="95"/>
      <c r="J16" s="65">
        <f t="shared" si="0"/>
        <v>30.563765156638372</v>
      </c>
      <c r="K16" s="65">
        <f t="shared" si="1"/>
        <v>29.243966549214072</v>
      </c>
      <c r="L16" s="6">
        <f t="shared" si="2"/>
        <v>31.883563764062671</v>
      </c>
      <c r="M16" s="6">
        <f t="shared" si="3"/>
        <v>0.32146192040020499</v>
      </c>
      <c r="N16" s="6">
        <f t="shared" si="4"/>
        <v>33.934433353458488</v>
      </c>
      <c r="O16" s="9"/>
    </row>
    <row r="17" spans="2:15" x14ac:dyDescent="0.25">
      <c r="B17" s="125">
        <v>15</v>
      </c>
      <c r="C17" s="126">
        <v>29.05</v>
      </c>
      <c r="D17" s="6">
        <f t="shared" si="5"/>
        <v>30.32</v>
      </c>
      <c r="E17" s="6">
        <f t="shared" si="6"/>
        <v>32.050799999999995</v>
      </c>
      <c r="F17" s="6">
        <f t="shared" si="7"/>
        <v>28.589200000000005</v>
      </c>
      <c r="G17" s="6">
        <f t="shared" si="8"/>
        <v>-0.8653999999999975</v>
      </c>
      <c r="H17" s="6">
        <f t="shared" si="9"/>
        <v>29.585199999999986</v>
      </c>
      <c r="I17" s="95"/>
      <c r="J17" s="65">
        <f t="shared" si="0"/>
        <v>30.175219312718475</v>
      </c>
      <c r="K17" s="65">
        <f t="shared" si="1"/>
        <v>29.502466030369874</v>
      </c>
      <c r="L17" s="6">
        <f t="shared" si="2"/>
        <v>30.847972595067077</v>
      </c>
      <c r="M17" s="6">
        <f t="shared" si="3"/>
        <v>0.1638617898842776</v>
      </c>
      <c r="N17" s="6">
        <f t="shared" si="4"/>
        <v>32.205025684462875</v>
      </c>
      <c r="O17" s="9"/>
    </row>
    <row r="18" spans="2:15" x14ac:dyDescent="0.25">
      <c r="B18" s="125">
        <v>16</v>
      </c>
      <c r="C18" s="126">
        <v>30.25</v>
      </c>
      <c r="D18" s="6">
        <f t="shared" si="5"/>
        <v>29.088000000000001</v>
      </c>
      <c r="E18" s="6">
        <f t="shared" si="6"/>
        <v>31.286799999999999</v>
      </c>
      <c r="F18" s="6">
        <f t="shared" si="7"/>
        <v>26.889200000000002</v>
      </c>
      <c r="G18" s="6">
        <f t="shared" si="8"/>
        <v>-1.0993999999999993</v>
      </c>
      <c r="H18" s="6">
        <f t="shared" si="9"/>
        <v>27.723800000000008</v>
      </c>
      <c r="I18" s="95"/>
      <c r="J18" s="65">
        <f t="shared" si="0"/>
        <v>29.954830681537945</v>
      </c>
      <c r="K18" s="65">
        <f t="shared" si="1"/>
        <v>29.634233387491403</v>
      </c>
      <c r="L18" s="6">
        <f t="shared" si="2"/>
        <v>30.275427975584488</v>
      </c>
      <c r="M18" s="6">
        <f t="shared" si="3"/>
        <v>7.8087536416212008E-2</v>
      </c>
      <c r="N18" s="6">
        <f t="shared" si="4"/>
        <v>31.011834384951353</v>
      </c>
      <c r="O18" s="9"/>
    </row>
    <row r="19" spans="2:15" x14ac:dyDescent="0.25">
      <c r="B19" s="125">
        <v>17</v>
      </c>
      <c r="C19" s="126">
        <v>29.42</v>
      </c>
      <c r="D19" s="6">
        <f t="shared" si="5"/>
        <v>29.143999999999998</v>
      </c>
      <c r="E19" s="6">
        <f t="shared" si="6"/>
        <v>30.452400000000001</v>
      </c>
      <c r="F19" s="6">
        <f t="shared" si="7"/>
        <v>27.835599999999996</v>
      </c>
      <c r="G19" s="6">
        <f t="shared" si="8"/>
        <v>-0.65420000000000122</v>
      </c>
      <c r="H19" s="6">
        <f t="shared" si="9"/>
        <v>25.789800000000003</v>
      </c>
      <c r="I19" s="95"/>
      <c r="J19" s="65">
        <f t="shared" si="0"/>
        <v>30.012643377540453</v>
      </c>
      <c r="K19" s="65">
        <f t="shared" si="1"/>
        <v>29.697026478577264</v>
      </c>
      <c r="L19" s="6">
        <f t="shared" si="2"/>
        <v>30.328260276503642</v>
      </c>
      <c r="M19" s="6">
        <f t="shared" si="3"/>
        <v>7.6874466968463992E-2</v>
      </c>
      <c r="N19" s="6">
        <f t="shared" si="4"/>
        <v>30.353515512000701</v>
      </c>
      <c r="O19" s="9"/>
    </row>
    <row r="20" spans="2:15" x14ac:dyDescent="0.25">
      <c r="B20" s="125">
        <v>18</v>
      </c>
      <c r="C20" s="126">
        <v>27.38</v>
      </c>
      <c r="D20" s="6">
        <f t="shared" si="5"/>
        <v>28.936</v>
      </c>
      <c r="E20" s="6">
        <f t="shared" si="6"/>
        <v>29.733600000000003</v>
      </c>
      <c r="F20" s="6">
        <f t="shared" si="7"/>
        <v>28.138399999999997</v>
      </c>
      <c r="G20" s="6">
        <f t="shared" si="8"/>
        <v>-0.39880000000000138</v>
      </c>
      <c r="H20" s="6">
        <f t="shared" si="9"/>
        <v>27.181399999999996</v>
      </c>
      <c r="I20" s="95"/>
      <c r="J20" s="65">
        <f t="shared" si="0"/>
        <v>29.896566572531842</v>
      </c>
      <c r="K20" s="65">
        <f t="shared" si="1"/>
        <v>29.758844095422013</v>
      </c>
      <c r="L20" s="6">
        <f t="shared" si="2"/>
        <v>30.034289049641671</v>
      </c>
      <c r="M20" s="6">
        <f t="shared" si="3"/>
        <v>3.3544914902130851E-2</v>
      </c>
      <c r="N20" s="6">
        <f t="shared" si="4"/>
        <v>30.405134743472104</v>
      </c>
      <c r="O20" s="9"/>
    </row>
    <row r="21" spans="2:15" x14ac:dyDescent="0.25">
      <c r="B21" s="125">
        <v>19</v>
      </c>
      <c r="C21" s="126">
        <v>27.68</v>
      </c>
      <c r="D21" s="6">
        <f t="shared" si="5"/>
        <v>28.756</v>
      </c>
      <c r="E21" s="6">
        <f t="shared" si="6"/>
        <v>29.248799999999999</v>
      </c>
      <c r="F21" s="6">
        <f t="shared" si="7"/>
        <v>28.263200000000001</v>
      </c>
      <c r="G21" s="6">
        <f t="shared" si="8"/>
        <v>-0.24639999999999951</v>
      </c>
      <c r="H21" s="6">
        <f t="shared" si="9"/>
        <v>27.739599999999996</v>
      </c>
      <c r="I21" s="95"/>
      <c r="J21" s="65">
        <f t="shared" si="0"/>
        <v>29.40366473915055</v>
      </c>
      <c r="K21" s="65">
        <f t="shared" si="1"/>
        <v>29.785818808591216</v>
      </c>
      <c r="L21" s="6">
        <f t="shared" si="2"/>
        <v>29.021510669709883</v>
      </c>
      <c r="M21" s="6">
        <f t="shared" si="3"/>
        <v>-9.308085366971125E-2</v>
      </c>
      <c r="N21" s="6">
        <f t="shared" si="4"/>
        <v>30.067833964543802</v>
      </c>
      <c r="O21" s="9"/>
    </row>
    <row r="22" spans="2:15" x14ac:dyDescent="0.25">
      <c r="B22" s="125">
        <v>20</v>
      </c>
      <c r="C22" s="126">
        <v>30.22</v>
      </c>
      <c r="D22" s="6">
        <f t="shared" si="5"/>
        <v>28.99</v>
      </c>
      <c r="E22" s="6">
        <f t="shared" si="6"/>
        <v>28.982800000000005</v>
      </c>
      <c r="F22" s="6">
        <f t="shared" si="7"/>
        <v>28.997199999999992</v>
      </c>
      <c r="G22" s="6">
        <f t="shared" si="8"/>
        <v>3.599999999996939E-3</v>
      </c>
      <c r="H22" s="6">
        <f t="shared" si="9"/>
        <v>28.016800000000003</v>
      </c>
      <c r="I22" s="95"/>
      <c r="J22" s="65">
        <f t="shared" si="0"/>
        <v>29.066062897285807</v>
      </c>
      <c r="K22" s="65">
        <f t="shared" si="1"/>
        <v>29.710969033696561</v>
      </c>
      <c r="L22" s="6">
        <f t="shared" si="2"/>
        <v>28.421156760875053</v>
      </c>
      <c r="M22" s="6">
        <f t="shared" si="3"/>
        <v>-0.15707909064479622</v>
      </c>
      <c r="N22" s="6">
        <f t="shared" si="4"/>
        <v>28.928429816040172</v>
      </c>
      <c r="O22" s="9"/>
    </row>
    <row r="23" spans="2:15" x14ac:dyDescent="0.25">
      <c r="B23" s="125">
        <v>21</v>
      </c>
      <c r="C23" s="126">
        <v>29.24</v>
      </c>
      <c r="D23" s="6">
        <f t="shared" si="5"/>
        <v>28.788</v>
      </c>
      <c r="E23" s="6">
        <f t="shared" si="6"/>
        <v>28.922800000000002</v>
      </c>
      <c r="F23" s="6">
        <f t="shared" si="7"/>
        <v>28.653199999999998</v>
      </c>
      <c r="G23" s="6">
        <f t="shared" si="8"/>
        <v>-6.7400000000001015E-2</v>
      </c>
      <c r="H23" s="6">
        <f t="shared" si="9"/>
        <v>29.000799999999991</v>
      </c>
      <c r="I23" s="95"/>
      <c r="J23" s="65">
        <f t="shared" si="0"/>
        <v>29.292076275887709</v>
      </c>
      <c r="K23" s="65">
        <f t="shared" si="1"/>
        <v>29.584655897193322</v>
      </c>
      <c r="L23" s="6">
        <f t="shared" si="2"/>
        <v>28.999496654582096</v>
      </c>
      <c r="M23" s="6">
        <f t="shared" si="3"/>
        <v>-7.1263302147605706E-2</v>
      </c>
      <c r="N23" s="6">
        <f t="shared" si="4"/>
        <v>28.264077670230257</v>
      </c>
      <c r="O23" s="9"/>
    </row>
    <row r="24" spans="2:15" x14ac:dyDescent="0.25">
      <c r="B24" s="125">
        <v>22</v>
      </c>
      <c r="C24" s="126">
        <v>28.75</v>
      </c>
      <c r="D24" s="6">
        <f t="shared" si="5"/>
        <v>28.653999999999996</v>
      </c>
      <c r="E24" s="6">
        <f t="shared" si="6"/>
        <v>28.8248</v>
      </c>
      <c r="F24" s="6">
        <f t="shared" si="7"/>
        <v>28.483199999999993</v>
      </c>
      <c r="G24" s="6">
        <f t="shared" si="8"/>
        <v>-8.5400000000001697E-2</v>
      </c>
      <c r="H24" s="6">
        <f t="shared" si="9"/>
        <v>28.585799999999999</v>
      </c>
      <c r="I24" s="95"/>
      <c r="J24" s="65">
        <f t="shared" si="0"/>
        <v>29.281876469476508</v>
      </c>
      <c r="K24" s="65">
        <f t="shared" si="1"/>
        <v>29.527350426586818</v>
      </c>
      <c r="L24" s="6">
        <f t="shared" si="2"/>
        <v>29.036402512366198</v>
      </c>
      <c r="M24" s="6">
        <f t="shared" si="3"/>
        <v>-5.9789826430350912E-2</v>
      </c>
      <c r="N24" s="6">
        <f t="shared" si="4"/>
        <v>28.928233352434489</v>
      </c>
      <c r="O24" s="9"/>
    </row>
    <row r="25" spans="2:15" x14ac:dyDescent="0.25">
      <c r="B25" s="125">
        <v>23</v>
      </c>
      <c r="C25" s="126">
        <v>28.02</v>
      </c>
      <c r="D25" s="6">
        <f t="shared" si="5"/>
        <v>28.782</v>
      </c>
      <c r="E25" s="6">
        <f t="shared" si="6"/>
        <v>28.794</v>
      </c>
      <c r="F25" s="6">
        <f t="shared" si="7"/>
        <v>28.77</v>
      </c>
      <c r="G25" s="6">
        <f t="shared" si="8"/>
        <v>-6.0000000000002274E-3</v>
      </c>
      <c r="H25" s="6">
        <f t="shared" si="9"/>
        <v>28.397799999999989</v>
      </c>
      <c r="I25" s="95"/>
      <c r="J25" s="65">
        <f t="shared" si="0"/>
        <v>29.17770164263154</v>
      </c>
      <c r="K25" s="65">
        <f t="shared" si="1"/>
        <v>29.479271204352969</v>
      </c>
      <c r="L25" s="6">
        <f t="shared" si="2"/>
        <v>28.876132080910111</v>
      </c>
      <c r="M25" s="6">
        <f t="shared" si="3"/>
        <v>-7.345297221855053E-2</v>
      </c>
      <c r="N25" s="6">
        <f t="shared" si="4"/>
        <v>28.976612685935848</v>
      </c>
      <c r="O25" s="9"/>
    </row>
    <row r="26" spans="2:15" x14ac:dyDescent="0.25">
      <c r="B26" s="125">
        <v>24</v>
      </c>
      <c r="C26" s="126">
        <v>26.69</v>
      </c>
      <c r="D26" s="6">
        <f t="shared" si="5"/>
        <v>28.583999999999996</v>
      </c>
      <c r="E26" s="6">
        <f t="shared" si="6"/>
        <v>28.759599999999995</v>
      </c>
      <c r="F26" s="6">
        <f t="shared" si="7"/>
        <v>28.408399999999997</v>
      </c>
      <c r="G26" s="6">
        <f t="shared" si="8"/>
        <v>-8.7799999999999656E-2</v>
      </c>
      <c r="H26" s="6">
        <f t="shared" si="9"/>
        <v>28.763999999999999</v>
      </c>
      <c r="I26" s="95"/>
      <c r="J26" s="65">
        <f t="shared" si="0"/>
        <v>28.950950930613807</v>
      </c>
      <c r="K26" s="65">
        <f t="shared" si="1"/>
        <v>29.420204938637241</v>
      </c>
      <c r="L26" s="6">
        <f t="shared" si="2"/>
        <v>28.481696922590373</v>
      </c>
      <c r="M26" s="6">
        <f t="shared" si="3"/>
        <v>-0.11429569157456354</v>
      </c>
      <c r="N26" s="6">
        <f t="shared" si="4"/>
        <v>28.80267910869156</v>
      </c>
      <c r="O26" s="9"/>
    </row>
    <row r="27" spans="2:15" x14ac:dyDescent="0.25">
      <c r="B27" s="125">
        <v>25</v>
      </c>
      <c r="C27" s="126">
        <v>25.08</v>
      </c>
      <c r="D27" s="6">
        <f t="shared" si="5"/>
        <v>27.555999999999994</v>
      </c>
      <c r="E27" s="6">
        <f t="shared" si="6"/>
        <v>28.472799999999996</v>
      </c>
      <c r="F27" s="6">
        <f t="shared" si="7"/>
        <v>26.639199999999992</v>
      </c>
      <c r="G27" s="6">
        <f t="shared" si="8"/>
        <v>-0.45840000000000103</v>
      </c>
      <c r="H27" s="6">
        <f t="shared" si="9"/>
        <v>28.320599999999999</v>
      </c>
      <c r="I27" s="95"/>
      <c r="J27" s="65">
        <f t="shared" si="0"/>
        <v>28.508114698483656</v>
      </c>
      <c r="K27" s="65">
        <f t="shared" si="1"/>
        <v>29.328295523881103</v>
      </c>
      <c r="L27" s="6">
        <f t="shared" si="2"/>
        <v>27.687933873086209</v>
      </c>
      <c r="M27" s="6">
        <f t="shared" si="3"/>
        <v>-0.19977055720814679</v>
      </c>
      <c r="N27" s="6">
        <f t="shared" si="4"/>
        <v>28.367401231015808</v>
      </c>
      <c r="O27" s="9"/>
    </row>
    <row r="28" spans="2:15" x14ac:dyDescent="0.25">
      <c r="B28" s="125">
        <v>26</v>
      </c>
      <c r="C28" s="126">
        <v>23.39</v>
      </c>
      <c r="D28" s="6">
        <f t="shared" si="5"/>
        <v>26.386000000000003</v>
      </c>
      <c r="E28" s="6">
        <f t="shared" si="6"/>
        <v>27.992399999999996</v>
      </c>
      <c r="F28" s="6">
        <f t="shared" si="7"/>
        <v>24.779600000000009</v>
      </c>
      <c r="G28" s="6">
        <f t="shared" si="8"/>
        <v>-0.80319999999999681</v>
      </c>
      <c r="H28" s="6">
        <f t="shared" si="9"/>
        <v>26.180799999999991</v>
      </c>
      <c r="I28" s="95"/>
      <c r="J28" s="65">
        <f t="shared" si="0"/>
        <v>27.836674475774199</v>
      </c>
      <c r="K28" s="65">
        <f t="shared" si="1"/>
        <v>29.167652591977316</v>
      </c>
      <c r="L28" s="6">
        <f t="shared" si="2"/>
        <v>26.505696359571083</v>
      </c>
      <c r="M28" s="6">
        <f t="shared" si="3"/>
        <v>-0.32418490127088723</v>
      </c>
      <c r="N28" s="6">
        <f t="shared" si="4"/>
        <v>27.488163315878062</v>
      </c>
      <c r="O28" s="9"/>
    </row>
    <row r="29" spans="2:15" x14ac:dyDescent="0.25">
      <c r="B29" s="125">
        <v>27</v>
      </c>
      <c r="C29" s="126">
        <v>22.65</v>
      </c>
      <c r="D29" s="6">
        <f t="shared" si="5"/>
        <v>25.165999999999997</v>
      </c>
      <c r="E29" s="6">
        <f t="shared" si="6"/>
        <v>27.294799999999999</v>
      </c>
      <c r="F29" s="6">
        <f t="shared" si="7"/>
        <v>23.037199999999995</v>
      </c>
      <c r="G29" s="6">
        <f t="shared" si="8"/>
        <v>-1.0644000000000009</v>
      </c>
      <c r="H29" s="6">
        <f t="shared" si="9"/>
        <v>23.976400000000012</v>
      </c>
      <c r="I29" s="95"/>
      <c r="J29" s="65">
        <f t="shared" si="0"/>
        <v>26.965736259602224</v>
      </c>
      <c r="K29" s="65">
        <f t="shared" si="1"/>
        <v>28.906963460671378</v>
      </c>
      <c r="L29" s="6">
        <f t="shared" si="2"/>
        <v>25.02450905853307</v>
      </c>
      <c r="M29" s="6">
        <f t="shared" si="3"/>
        <v>-0.47282261132753761</v>
      </c>
      <c r="N29" s="6">
        <f t="shared" si="4"/>
        <v>26.181511458300196</v>
      </c>
      <c r="O29" s="9"/>
    </row>
    <row r="30" spans="2:15" x14ac:dyDescent="0.25">
      <c r="B30" s="125">
        <v>28</v>
      </c>
      <c r="C30" s="126">
        <v>22.02</v>
      </c>
      <c r="D30" s="6">
        <f t="shared" si="5"/>
        <v>23.966000000000001</v>
      </c>
      <c r="E30" s="6">
        <f t="shared" si="6"/>
        <v>26.331599999999998</v>
      </c>
      <c r="F30" s="6">
        <f t="shared" si="7"/>
        <v>21.600400000000004</v>
      </c>
      <c r="G30" s="6">
        <f t="shared" si="8"/>
        <v>-1.1827999999999985</v>
      </c>
      <c r="H30" s="6">
        <f t="shared" si="9"/>
        <v>21.972799999999992</v>
      </c>
      <c r="I30" s="95"/>
      <c r="J30" s="65">
        <f t="shared" si="0"/>
        <v>26.120443972099608</v>
      </c>
      <c r="K30" s="65">
        <f t="shared" si="1"/>
        <v>28.526749220817599</v>
      </c>
      <c r="L30" s="6">
        <f t="shared" si="2"/>
        <v>23.714138723381616</v>
      </c>
      <c r="M30" s="6">
        <f t="shared" si="3"/>
        <v>-0.58610116874694951</v>
      </c>
      <c r="N30" s="6">
        <f t="shared" si="4"/>
        <v>24.551686447205533</v>
      </c>
      <c r="O30" s="9"/>
    </row>
    <row r="31" spans="2:15" x14ac:dyDescent="0.25">
      <c r="B31" s="125">
        <v>29</v>
      </c>
      <c r="C31" s="126">
        <v>23.39</v>
      </c>
      <c r="D31" s="6">
        <f t="shared" si="5"/>
        <v>23.306000000000001</v>
      </c>
      <c r="E31" s="6">
        <f t="shared" si="6"/>
        <v>25.275999999999996</v>
      </c>
      <c r="F31" s="6">
        <f t="shared" si="7"/>
        <v>21.336000000000006</v>
      </c>
      <c r="G31" s="6">
        <f t="shared" si="8"/>
        <v>-0.98499999999999766</v>
      </c>
      <c r="H31" s="6">
        <f t="shared" si="9"/>
        <v>20.417600000000007</v>
      </c>
      <c r="I31" s="95"/>
      <c r="J31" s="65">
        <f t="shared" si="0"/>
        <v>25.317319439816011</v>
      </c>
      <c r="K31" s="65">
        <f t="shared" si="1"/>
        <v>28.055443481595745</v>
      </c>
      <c r="L31" s="6">
        <f t="shared" si="2"/>
        <v>22.579195398036276</v>
      </c>
      <c r="M31" s="6">
        <f t="shared" si="3"/>
        <v>-0.66692191355033748</v>
      </c>
      <c r="N31" s="6">
        <f t="shared" si="4"/>
        <v>23.128037554634666</v>
      </c>
      <c r="O31" s="9"/>
    </row>
    <row r="32" spans="2:15" x14ac:dyDescent="0.25">
      <c r="B32" s="125">
        <v>30</v>
      </c>
      <c r="C32" s="126">
        <v>26.35</v>
      </c>
      <c r="D32" s="6">
        <f t="shared" si="5"/>
        <v>23.560000000000002</v>
      </c>
      <c r="E32" s="6">
        <f t="shared" si="6"/>
        <v>24.476800000000001</v>
      </c>
      <c r="F32" s="6">
        <f t="shared" si="7"/>
        <v>22.643200000000004</v>
      </c>
      <c r="G32" s="6">
        <f t="shared" si="8"/>
        <v>-0.45839999999999925</v>
      </c>
      <c r="H32" s="6">
        <f t="shared" si="9"/>
        <v>20.351000000000006</v>
      </c>
      <c r="I32" s="95"/>
      <c r="J32" s="65">
        <f t="shared" si="0"/>
        <v>24.93982921334409</v>
      </c>
      <c r="K32" s="65">
        <f t="shared" si="1"/>
        <v>27.519146776811652</v>
      </c>
      <c r="L32" s="6">
        <f t="shared" si="2"/>
        <v>22.360511649876528</v>
      </c>
      <c r="M32" s="6">
        <f t="shared" si="3"/>
        <v>-0.6282415912624898</v>
      </c>
      <c r="N32" s="6">
        <f>$L$31+$M$31</f>
        <v>21.91227348448594</v>
      </c>
      <c r="O32" s="9"/>
    </row>
    <row r="33" spans="2:15" x14ac:dyDescent="0.25">
      <c r="B33" s="125">
        <v>1</v>
      </c>
      <c r="C33" s="95"/>
      <c r="D33" s="6"/>
      <c r="E33" s="6"/>
      <c r="F33" s="6"/>
      <c r="G33" s="6"/>
      <c r="H33" s="65">
        <f t="shared" ref="H33:H38" si="10">$F$32+$G$32*B33</f>
        <v>22.184800000000003</v>
      </c>
      <c r="I33" s="95"/>
      <c r="J33" s="95"/>
      <c r="K33" s="95"/>
      <c r="L33" s="95"/>
      <c r="M33" s="95"/>
      <c r="N33" s="6">
        <f t="shared" ref="N33:N38" si="11">$L$32+$M$32*B33</f>
        <v>21.732270058614038</v>
      </c>
      <c r="O33" s="9"/>
    </row>
    <row r="34" spans="2:15" x14ac:dyDescent="0.25">
      <c r="B34" s="125">
        <v>2</v>
      </c>
      <c r="C34" s="95"/>
      <c r="D34" s="95"/>
      <c r="E34" s="95"/>
      <c r="F34" s="95"/>
      <c r="G34" s="95"/>
      <c r="H34" s="65">
        <f t="shared" si="10"/>
        <v>21.726400000000005</v>
      </c>
      <c r="I34" s="95"/>
      <c r="J34" s="95"/>
      <c r="K34" s="95"/>
      <c r="L34" s="95"/>
      <c r="M34" s="95"/>
      <c r="N34" s="6">
        <f t="shared" si="11"/>
        <v>21.104028467351547</v>
      </c>
      <c r="O34" s="9"/>
    </row>
    <row r="35" spans="2:15" x14ac:dyDescent="0.25">
      <c r="B35" s="125">
        <v>3</v>
      </c>
      <c r="C35" s="95"/>
      <c r="D35" s="95"/>
      <c r="E35" s="95"/>
      <c r="F35" s="95"/>
      <c r="G35" s="95"/>
      <c r="H35" s="65">
        <f t="shared" si="10"/>
        <v>21.268000000000008</v>
      </c>
      <c r="I35" s="95"/>
      <c r="J35" s="95"/>
      <c r="K35" s="95"/>
      <c r="L35" s="95"/>
      <c r="M35" s="95"/>
      <c r="N35" s="6">
        <f t="shared" si="11"/>
        <v>20.47578687608906</v>
      </c>
      <c r="O35" s="9"/>
    </row>
    <row r="36" spans="2:15" x14ac:dyDescent="0.25">
      <c r="B36" s="125">
        <v>4</v>
      </c>
      <c r="C36" s="95"/>
      <c r="D36" s="95"/>
      <c r="E36" s="95"/>
      <c r="F36" s="95"/>
      <c r="G36" s="95"/>
      <c r="H36" s="65">
        <f t="shared" si="10"/>
        <v>20.809600000000007</v>
      </c>
      <c r="I36" s="95"/>
      <c r="J36" s="95"/>
      <c r="K36" s="95"/>
      <c r="L36" s="95"/>
      <c r="M36" s="95"/>
      <c r="N36" s="6">
        <f t="shared" si="11"/>
        <v>19.84754528482657</v>
      </c>
      <c r="O36" s="9"/>
    </row>
    <row r="37" spans="2:15" x14ac:dyDescent="0.25">
      <c r="B37" s="125">
        <v>5</v>
      </c>
      <c r="C37" s="95"/>
      <c r="D37" s="95"/>
      <c r="E37" s="95"/>
      <c r="F37" s="95"/>
      <c r="G37" s="95"/>
      <c r="H37" s="65">
        <f t="shared" si="10"/>
        <v>20.351200000000006</v>
      </c>
      <c r="I37" s="95"/>
      <c r="J37" s="95"/>
      <c r="K37" s="95"/>
      <c r="L37" s="95"/>
      <c r="M37" s="95"/>
      <c r="N37" s="6">
        <f t="shared" si="11"/>
        <v>19.219303693564079</v>
      </c>
      <c r="O37" s="9"/>
    </row>
    <row r="38" spans="2:15" x14ac:dyDescent="0.25">
      <c r="B38" s="125">
        <v>6</v>
      </c>
      <c r="C38" s="95"/>
      <c r="D38" s="95"/>
      <c r="E38" s="95"/>
      <c r="F38" s="95"/>
      <c r="G38" s="95"/>
      <c r="H38" s="65">
        <f t="shared" si="10"/>
        <v>19.892800000000008</v>
      </c>
      <c r="I38" s="95"/>
      <c r="J38" s="95"/>
      <c r="K38" s="95"/>
      <c r="L38" s="95"/>
      <c r="M38" s="95"/>
      <c r="N38" s="6">
        <f t="shared" si="11"/>
        <v>18.591062102301589</v>
      </c>
      <c r="O38" s="9"/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53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A38"/>
  <sheetViews>
    <sheetView zoomScale="90" zoomScaleNormal="90" workbookViewId="0">
      <selection activeCell="A2" sqref="A2"/>
    </sheetView>
  </sheetViews>
  <sheetFormatPr defaultColWidth="8.85546875" defaultRowHeight="15" x14ac:dyDescent="0.25"/>
  <cols>
    <col min="1" max="7" width="8.85546875" style="7"/>
    <col min="8" max="8" width="10.140625" style="7" customWidth="1"/>
    <col min="9" max="11" width="8.85546875" style="7"/>
    <col min="12" max="12" width="10.42578125" style="7" customWidth="1"/>
    <col min="13" max="16384" width="8.85546875" style="7"/>
  </cols>
  <sheetData>
    <row r="1" spans="1:27" x14ac:dyDescent="0.25">
      <c r="A1" s="14" t="s">
        <v>176</v>
      </c>
      <c r="J1" s="95">
        <v>0.1958628230865356</v>
      </c>
      <c r="K1" s="135" t="s">
        <v>4</v>
      </c>
    </row>
    <row r="2" spans="1:27" ht="18" x14ac:dyDescent="0.35">
      <c r="B2" s="127" t="s">
        <v>0</v>
      </c>
      <c r="C2" s="127" t="s">
        <v>2</v>
      </c>
      <c r="D2" s="127" t="s">
        <v>11</v>
      </c>
      <c r="E2" s="127" t="s">
        <v>12</v>
      </c>
      <c r="F2" s="128" t="s">
        <v>14</v>
      </c>
      <c r="G2" s="128" t="s">
        <v>15</v>
      </c>
      <c r="H2" s="128" t="s">
        <v>13</v>
      </c>
      <c r="I2" s="128" t="s">
        <v>109</v>
      </c>
      <c r="J2" s="70"/>
      <c r="K2" s="70"/>
      <c r="L2" s="70"/>
      <c r="M2" s="70"/>
      <c r="N2" s="128" t="s">
        <v>29</v>
      </c>
      <c r="O2" s="128" t="s">
        <v>30</v>
      </c>
      <c r="Z2" s="70"/>
      <c r="AA2" s="70"/>
    </row>
    <row r="3" spans="1:27" x14ac:dyDescent="0.25">
      <c r="B3" s="125">
        <v>1</v>
      </c>
      <c r="C3" s="126">
        <v>26.21</v>
      </c>
      <c r="D3" s="95">
        <f>C3</f>
        <v>26.21</v>
      </c>
      <c r="E3" s="95">
        <f>C3</f>
        <v>26.21</v>
      </c>
      <c r="F3" s="95"/>
      <c r="G3" s="95"/>
      <c r="H3" s="95"/>
      <c r="I3" s="95"/>
      <c r="J3" s="126">
        <v>0.05</v>
      </c>
      <c r="K3" s="136" t="s">
        <v>6</v>
      </c>
      <c r="L3" s="131"/>
      <c r="M3" s="131"/>
      <c r="N3" s="95"/>
      <c r="O3" s="95"/>
    </row>
    <row r="4" spans="1:27" x14ac:dyDescent="0.25">
      <c r="B4" s="125">
        <v>2</v>
      </c>
      <c r="C4" s="126">
        <v>25.72</v>
      </c>
      <c r="D4" s="65">
        <f t="shared" ref="D4:D32" si="0">$J$1*C3+(1-$J$1)*D3</f>
        <v>26.21</v>
      </c>
      <c r="E4" s="65">
        <f t="shared" ref="E4:E32" si="1">$J$1*D3+(1-$J$1)*E3</f>
        <v>26.21</v>
      </c>
      <c r="F4" s="6">
        <f t="shared" ref="F4:F32" si="2">2*D4-E4</f>
        <v>26.21</v>
      </c>
      <c r="G4" s="6">
        <f t="shared" ref="G4:G32" si="3">($J$1/(1-$J$1))*(D4-E4)</f>
        <v>0</v>
      </c>
      <c r="H4" s="6">
        <f t="shared" ref="H4:H31" si="4">F3+G3</f>
        <v>0</v>
      </c>
      <c r="I4" s="95"/>
      <c r="J4" s="126">
        <f>COUNT(C3:C32)-2</f>
        <v>28</v>
      </c>
      <c r="K4" s="135" t="s">
        <v>5</v>
      </c>
      <c r="L4" s="131"/>
      <c r="M4" s="45"/>
      <c r="N4" s="95"/>
      <c r="O4" s="95"/>
    </row>
    <row r="5" spans="1:27" x14ac:dyDescent="0.25">
      <c r="B5" s="125">
        <v>3</v>
      </c>
      <c r="C5" s="126">
        <v>27.51</v>
      </c>
      <c r="D5" s="65">
        <f t="shared" si="0"/>
        <v>26.1140272166876</v>
      </c>
      <c r="E5" s="65">
        <f t="shared" si="1"/>
        <v>26.21</v>
      </c>
      <c r="F5" s="6">
        <f t="shared" si="2"/>
        <v>26.018054433375198</v>
      </c>
      <c r="G5" s="6">
        <f t="shared" si="3"/>
        <v>-2.3375987106068263E-2</v>
      </c>
      <c r="H5" s="6">
        <f t="shared" si="4"/>
        <v>26.21</v>
      </c>
      <c r="I5" s="95"/>
      <c r="J5" s="133">
        <f>_xlfn.T.INV.2T(J3,J4)</f>
        <v>2.0484071417952445</v>
      </c>
      <c r="K5" s="137" t="s">
        <v>7</v>
      </c>
      <c r="L5" s="8"/>
      <c r="M5" s="8"/>
      <c r="N5" s="95"/>
      <c r="O5" s="95"/>
      <c r="S5" s="28"/>
    </row>
    <row r="6" spans="1:27" ht="18" x14ac:dyDescent="0.35">
      <c r="B6" s="125">
        <v>4</v>
      </c>
      <c r="C6" s="126">
        <v>28.32</v>
      </c>
      <c r="D6" s="65">
        <f t="shared" si="0"/>
        <v>26.387446386979136</v>
      </c>
      <c r="E6" s="65">
        <f t="shared" si="1"/>
        <v>26.191202499720962</v>
      </c>
      <c r="F6" s="6">
        <f t="shared" si="2"/>
        <v>26.583690274237309</v>
      </c>
      <c r="G6" s="6">
        <f t="shared" si="3"/>
        <v>4.7798911523273584E-2</v>
      </c>
      <c r="H6" s="6">
        <f t="shared" si="4"/>
        <v>25.99467844626913</v>
      </c>
      <c r="I6" s="95"/>
      <c r="J6" s="134">
        <f>SQRT(SUMXMY2(D5:D32,H5:H32)/COUNT(D5:D32))</f>
        <v>1.6061615713747504</v>
      </c>
      <c r="K6" s="136" t="s">
        <v>151</v>
      </c>
      <c r="L6" s="8"/>
      <c r="M6" s="8"/>
      <c r="N6" s="95"/>
      <c r="O6" s="95"/>
      <c r="S6" s="67"/>
    </row>
    <row r="7" spans="1:27" x14ac:dyDescent="0.25">
      <c r="B7" s="125">
        <v>5</v>
      </c>
      <c r="C7" s="126">
        <v>28.42</v>
      </c>
      <c r="D7" s="65">
        <f t="shared" si="0"/>
        <v>26.76596179339149</v>
      </c>
      <c r="E7" s="65">
        <f t="shared" si="1"/>
        <v>26.229639381492827</v>
      </c>
      <c r="F7" s="6">
        <f t="shared" si="2"/>
        <v>27.302284205290153</v>
      </c>
      <c r="G7" s="6">
        <f t="shared" si="3"/>
        <v>0.1306314702203554</v>
      </c>
      <c r="H7" s="6">
        <f t="shared" si="4"/>
        <v>26.631489185760582</v>
      </c>
      <c r="I7" s="6">
        <f>SQRT(SUMXMY2(C5:C7,H5:H7)/3)</f>
        <v>1.8525560055318795</v>
      </c>
      <c r="J7" s="69"/>
      <c r="K7" s="68"/>
      <c r="L7" s="23"/>
      <c r="M7" s="23"/>
      <c r="N7" s="65">
        <f t="shared" ref="N7:N32" si="5">H7-$J$5*I7</f>
        <v>22.83670023345341</v>
      </c>
      <c r="O7" s="65">
        <f t="shared" ref="O7:O32" si="6">H7+$J$5*I7</f>
        <v>30.426278138067754</v>
      </c>
      <c r="Z7" s="56"/>
      <c r="AA7" s="56"/>
    </row>
    <row r="8" spans="1:27" x14ac:dyDescent="0.25">
      <c r="B8" s="125">
        <v>6</v>
      </c>
      <c r="C8" s="126">
        <v>28.28</v>
      </c>
      <c r="D8" s="65">
        <f t="shared" si="0"/>
        <v>27.089926386030825</v>
      </c>
      <c r="E8" s="65">
        <f t="shared" si="1"/>
        <v>26.334685003171881</v>
      </c>
      <c r="F8" s="6">
        <f t="shared" si="2"/>
        <v>27.84516776888977</v>
      </c>
      <c r="G8" s="6">
        <f t="shared" si="3"/>
        <v>0.1839533273742055</v>
      </c>
      <c r="H8" s="6">
        <f t="shared" si="4"/>
        <v>27.432915675510507</v>
      </c>
      <c r="I8" s="6">
        <f t="shared" ref="I8:I31" si="7">SQRT(SUMXMY2(C6:C8,H6:H8)/3)</f>
        <v>1.7628994217569078</v>
      </c>
      <c r="J8" s="23"/>
      <c r="K8" s="23"/>
      <c r="L8" s="23"/>
      <c r="M8" s="23"/>
      <c r="N8" s="65">
        <f t="shared" si="5"/>
        <v>23.821779909716952</v>
      </c>
      <c r="O8" s="65">
        <f t="shared" si="6"/>
        <v>31.044051441304063</v>
      </c>
      <c r="Z8" s="56"/>
      <c r="AA8" s="56"/>
    </row>
    <row r="9" spans="1:27" x14ac:dyDescent="0.25">
      <c r="B9" s="125">
        <v>7</v>
      </c>
      <c r="C9" s="126">
        <v>27.1</v>
      </c>
      <c r="D9" s="65">
        <f t="shared" si="0"/>
        <v>27.323017563743626</v>
      </c>
      <c r="E9" s="65">
        <f t="shared" si="1"/>
        <v>26.482608712530414</v>
      </c>
      <c r="F9" s="6">
        <f t="shared" si="2"/>
        <v>28.163426414956838</v>
      </c>
      <c r="G9" s="6">
        <f t="shared" si="3"/>
        <v>0.20469747559407461</v>
      </c>
      <c r="H9" s="6">
        <f t="shared" si="4"/>
        <v>28.029121096263975</v>
      </c>
      <c r="I9" s="6">
        <f t="shared" si="7"/>
        <v>1.262218786762678</v>
      </c>
      <c r="J9" s="23"/>
      <c r="K9" s="23"/>
      <c r="L9" s="23"/>
      <c r="M9" s="23"/>
      <c r="N9" s="65">
        <f t="shared" si="5"/>
        <v>25.443583118951175</v>
      </c>
      <c r="O9" s="65">
        <f t="shared" si="6"/>
        <v>30.614659073576775</v>
      </c>
      <c r="Z9" s="56"/>
      <c r="AA9" s="56"/>
    </row>
    <row r="10" spans="1:27" x14ac:dyDescent="0.25">
      <c r="B10" s="125">
        <v>8</v>
      </c>
      <c r="C10" s="126">
        <v>32.35</v>
      </c>
      <c r="D10" s="65">
        <f t="shared" si="0"/>
        <v>27.279336714110919</v>
      </c>
      <c r="E10" s="65">
        <f t="shared" si="1"/>
        <v>26.647213562675947</v>
      </c>
      <c r="F10" s="6">
        <f t="shared" si="2"/>
        <v>27.91145986554589</v>
      </c>
      <c r="G10" s="6">
        <f t="shared" si="3"/>
        <v>0.15396555280982191</v>
      </c>
      <c r="H10" s="6">
        <f t="shared" si="4"/>
        <v>28.368123890550912</v>
      </c>
      <c r="I10" s="6">
        <f t="shared" si="7"/>
        <v>2.4108197233389315</v>
      </c>
      <c r="J10" s="23"/>
      <c r="K10" s="23"/>
      <c r="L10" s="23"/>
      <c r="M10" s="23"/>
      <c r="N10" s="65">
        <f t="shared" si="5"/>
        <v>23.429783551682611</v>
      </c>
      <c r="O10" s="65">
        <f t="shared" si="6"/>
        <v>33.306464229419213</v>
      </c>
      <c r="Z10" s="56"/>
      <c r="AA10" s="56"/>
    </row>
    <row r="11" spans="1:27" x14ac:dyDescent="0.25">
      <c r="B11" s="125">
        <v>9</v>
      </c>
      <c r="C11" s="126">
        <v>35.33</v>
      </c>
      <c r="D11" s="65">
        <f t="shared" si="0"/>
        <v>28.272491140206405</v>
      </c>
      <c r="E11" s="65">
        <f t="shared" si="1"/>
        <v>26.771022987654359</v>
      </c>
      <c r="F11" s="6">
        <f t="shared" si="2"/>
        <v>29.773959292758452</v>
      </c>
      <c r="G11" s="6">
        <f t="shared" si="3"/>
        <v>0.36571097516240808</v>
      </c>
      <c r="H11" s="6">
        <f t="shared" si="4"/>
        <v>28.065425418355712</v>
      </c>
      <c r="I11" s="6">
        <f t="shared" si="7"/>
        <v>4.812921746534581</v>
      </c>
      <c r="J11" s="23"/>
      <c r="K11" s="23"/>
      <c r="L11" s="23"/>
      <c r="M11" s="23"/>
      <c r="N11" s="65">
        <f t="shared" si="5"/>
        <v>18.206602139852635</v>
      </c>
      <c r="O11" s="65">
        <f t="shared" si="6"/>
        <v>37.92424869685879</v>
      </c>
      <c r="Z11" s="56"/>
      <c r="AA11" s="56"/>
    </row>
    <row r="12" spans="1:27" x14ac:dyDescent="0.25">
      <c r="B12" s="125">
        <v>10</v>
      </c>
      <c r="C12" s="126">
        <v>33.35</v>
      </c>
      <c r="D12" s="65">
        <f t="shared" si="0"/>
        <v>29.654794749443816</v>
      </c>
      <c r="E12" s="65">
        <f t="shared" si="1"/>
        <v>27.065104778787727</v>
      </c>
      <c r="F12" s="6">
        <f t="shared" si="2"/>
        <v>32.244484720099905</v>
      </c>
      <c r="G12" s="6">
        <f t="shared" si="3"/>
        <v>0.63076798727112315</v>
      </c>
      <c r="H12" s="6">
        <f t="shared" si="4"/>
        <v>30.139670267920859</v>
      </c>
      <c r="I12" s="6">
        <f t="shared" si="7"/>
        <v>5.1295093394964857</v>
      </c>
      <c r="J12" s="23"/>
      <c r="K12" s="23"/>
      <c r="L12" s="23"/>
      <c r="M12" s="23"/>
      <c r="N12" s="65">
        <f t="shared" si="5"/>
        <v>19.632346702990851</v>
      </c>
      <c r="O12" s="65">
        <f t="shared" si="6"/>
        <v>40.646993832850868</v>
      </c>
      <c r="Z12" s="56"/>
      <c r="AA12" s="56"/>
    </row>
    <row r="13" spans="1:27" x14ac:dyDescent="0.25">
      <c r="B13" s="125">
        <v>11</v>
      </c>
      <c r="C13" s="126">
        <v>36.409999999999997</v>
      </c>
      <c r="D13" s="65">
        <f t="shared" si="0"/>
        <v>30.37854808170194</v>
      </c>
      <c r="E13" s="65">
        <f t="shared" si="1"/>
        <v>27.572328767359316</v>
      </c>
      <c r="F13" s="6">
        <f t="shared" si="2"/>
        <v>33.184767396044563</v>
      </c>
      <c r="G13" s="6">
        <f t="shared" si="3"/>
        <v>0.68350780549256496</v>
      </c>
      <c r="H13" s="6">
        <f t="shared" si="4"/>
        <v>32.875252707371025</v>
      </c>
      <c r="I13" s="6">
        <f t="shared" si="7"/>
        <v>5.0191200843604529</v>
      </c>
      <c r="J13" s="23"/>
      <c r="K13" s="23"/>
      <c r="L13" s="23"/>
      <c r="M13" s="23"/>
      <c r="N13" s="65">
        <f t="shared" si="5"/>
        <v>22.594051281039121</v>
      </c>
      <c r="O13" s="65">
        <f t="shared" si="6"/>
        <v>43.15645413370293</v>
      </c>
      <c r="Z13" s="56"/>
      <c r="AA13" s="56"/>
    </row>
    <row r="14" spans="1:27" x14ac:dyDescent="0.25">
      <c r="B14" s="125">
        <v>12</v>
      </c>
      <c r="C14" s="126">
        <v>29.14</v>
      </c>
      <c r="D14" s="65">
        <f t="shared" si="0"/>
        <v>31.559885281730498</v>
      </c>
      <c r="E14" s="65">
        <f t="shared" si="1"/>
        <v>28.121962804466424</v>
      </c>
      <c r="F14" s="6">
        <f t="shared" si="2"/>
        <v>34.997807758994568</v>
      </c>
      <c r="G14" s="6">
        <f t="shared" si="3"/>
        <v>0.83737106215406321</v>
      </c>
      <c r="H14" s="6">
        <f t="shared" si="4"/>
        <v>33.868275201537131</v>
      </c>
      <c r="I14" s="6">
        <f t="shared" si="7"/>
        <v>3.8797440548267343</v>
      </c>
      <c r="J14" s="23"/>
      <c r="K14" s="23"/>
      <c r="L14" s="23"/>
      <c r="M14" s="23"/>
      <c r="N14" s="65">
        <f t="shared" si="5"/>
        <v>25.920979771292409</v>
      </c>
      <c r="O14" s="65">
        <f t="shared" si="6"/>
        <v>41.815570631781853</v>
      </c>
      <c r="Z14" s="56"/>
      <c r="AA14" s="56"/>
    </row>
    <row r="15" spans="1:27" x14ac:dyDescent="0.25">
      <c r="B15" s="125">
        <v>13</v>
      </c>
      <c r="C15" s="126">
        <v>28.42</v>
      </c>
      <c r="D15" s="65">
        <f t="shared" si="0"/>
        <v>31.08591971890521</v>
      </c>
      <c r="E15" s="65">
        <f t="shared" si="1"/>
        <v>28.795324006416024</v>
      </c>
      <c r="F15" s="6">
        <f t="shared" si="2"/>
        <v>33.376515431394395</v>
      </c>
      <c r="G15" s="6">
        <f t="shared" si="3"/>
        <v>0.55791792206409341</v>
      </c>
      <c r="H15" s="6">
        <f t="shared" si="4"/>
        <v>35.835178821148631</v>
      </c>
      <c r="I15" s="6">
        <f t="shared" si="7"/>
        <v>5.4722299462476904</v>
      </c>
      <c r="J15" s="23"/>
      <c r="K15" s="23"/>
      <c r="L15" s="23"/>
      <c r="M15" s="23"/>
      <c r="N15" s="65">
        <f t="shared" si="5"/>
        <v>24.625823917709056</v>
      </c>
      <c r="O15" s="65">
        <f t="shared" si="6"/>
        <v>47.044533724588206</v>
      </c>
      <c r="Z15" s="56"/>
      <c r="AA15" s="56"/>
    </row>
    <row r="16" spans="1:27" x14ac:dyDescent="0.25">
      <c r="B16" s="125">
        <v>14</v>
      </c>
      <c r="C16" s="126">
        <v>28.58</v>
      </c>
      <c r="D16" s="65">
        <f t="shared" si="0"/>
        <v>30.563765156638372</v>
      </c>
      <c r="E16" s="65">
        <f t="shared" si="1"/>
        <v>29.243966549214072</v>
      </c>
      <c r="F16" s="6">
        <f t="shared" si="2"/>
        <v>31.883563764062671</v>
      </c>
      <c r="G16" s="6">
        <f t="shared" si="3"/>
        <v>0.32146192040020499</v>
      </c>
      <c r="H16" s="6">
        <f t="shared" si="4"/>
        <v>33.934433353458488</v>
      </c>
      <c r="I16" s="6">
        <f t="shared" si="7"/>
        <v>5.944505021942839</v>
      </c>
      <c r="J16" s="23"/>
      <c r="K16" s="23"/>
      <c r="L16" s="23"/>
      <c r="M16" s="23"/>
      <c r="N16" s="65">
        <f t="shared" si="5"/>
        <v>21.757666812073079</v>
      </c>
      <c r="O16" s="65">
        <f t="shared" si="6"/>
        <v>46.111199894843892</v>
      </c>
      <c r="Z16" s="56"/>
      <c r="AA16" s="56"/>
    </row>
    <row r="17" spans="2:27" x14ac:dyDescent="0.25">
      <c r="B17" s="125">
        <v>15</v>
      </c>
      <c r="C17" s="126">
        <v>29.05</v>
      </c>
      <c r="D17" s="65">
        <f t="shared" si="0"/>
        <v>30.175219312718475</v>
      </c>
      <c r="E17" s="65">
        <f t="shared" si="1"/>
        <v>29.502466030369874</v>
      </c>
      <c r="F17" s="6">
        <f t="shared" si="2"/>
        <v>30.847972595067077</v>
      </c>
      <c r="G17" s="6">
        <f t="shared" si="3"/>
        <v>0.1638617898842776</v>
      </c>
      <c r="H17" s="6">
        <f t="shared" si="4"/>
        <v>32.205025684462875</v>
      </c>
      <c r="I17" s="6">
        <f t="shared" si="7"/>
        <v>5.5859651674489914</v>
      </c>
      <c r="J17" s="23"/>
      <c r="K17" s="23"/>
      <c r="L17" s="23"/>
      <c r="M17" s="23"/>
      <c r="N17" s="65">
        <f t="shared" si="5"/>
        <v>20.762694741640892</v>
      </c>
      <c r="O17" s="65">
        <f t="shared" si="6"/>
        <v>43.647356627284857</v>
      </c>
      <c r="Z17" s="56"/>
      <c r="AA17" s="56"/>
    </row>
    <row r="18" spans="2:27" x14ac:dyDescent="0.25">
      <c r="B18" s="125">
        <v>16</v>
      </c>
      <c r="C18" s="126">
        <v>30.25</v>
      </c>
      <c r="D18" s="65">
        <f t="shared" si="0"/>
        <v>29.954830681537945</v>
      </c>
      <c r="E18" s="65">
        <f t="shared" si="1"/>
        <v>29.634233387491403</v>
      </c>
      <c r="F18" s="6">
        <f t="shared" si="2"/>
        <v>30.275427975584488</v>
      </c>
      <c r="G18" s="6">
        <f t="shared" si="3"/>
        <v>7.8087536416212008E-2</v>
      </c>
      <c r="H18" s="6">
        <f t="shared" si="4"/>
        <v>31.011834384951353</v>
      </c>
      <c r="I18" s="6">
        <f t="shared" si="7"/>
        <v>3.6149935563033098</v>
      </c>
      <c r="J18" s="23"/>
      <c r="K18" s="23"/>
      <c r="L18" s="23"/>
      <c r="M18" s="23"/>
      <c r="N18" s="65">
        <f t="shared" si="5"/>
        <v>23.606855766675864</v>
      </c>
      <c r="O18" s="65">
        <f t="shared" si="6"/>
        <v>38.416813003226842</v>
      </c>
      <c r="Z18" s="56"/>
      <c r="AA18" s="56"/>
    </row>
    <row r="19" spans="2:27" x14ac:dyDescent="0.25">
      <c r="B19" s="125">
        <v>17</v>
      </c>
      <c r="C19" s="126">
        <v>29.42</v>
      </c>
      <c r="D19" s="65">
        <f t="shared" si="0"/>
        <v>30.012643377540453</v>
      </c>
      <c r="E19" s="65">
        <f t="shared" si="1"/>
        <v>29.697026478577264</v>
      </c>
      <c r="F19" s="6">
        <f t="shared" si="2"/>
        <v>30.328260276503642</v>
      </c>
      <c r="G19" s="6">
        <f t="shared" si="3"/>
        <v>7.6874466968463992E-2</v>
      </c>
      <c r="H19" s="6">
        <f t="shared" si="4"/>
        <v>30.353515512000701</v>
      </c>
      <c r="I19" s="6">
        <f t="shared" si="7"/>
        <v>1.9498743473072448</v>
      </c>
      <c r="J19" s="23"/>
      <c r="K19" s="23"/>
      <c r="L19" s="23"/>
      <c r="M19" s="23"/>
      <c r="N19" s="65">
        <f t="shared" si="5"/>
        <v>26.3593789733732</v>
      </c>
      <c r="O19" s="65">
        <f t="shared" si="6"/>
        <v>34.347652050628206</v>
      </c>
      <c r="Z19" s="56"/>
      <c r="AA19" s="56"/>
    </row>
    <row r="20" spans="2:27" x14ac:dyDescent="0.25">
      <c r="B20" s="125">
        <v>18</v>
      </c>
      <c r="C20" s="126">
        <v>27.38</v>
      </c>
      <c r="D20" s="65">
        <f t="shared" si="0"/>
        <v>29.896566572531842</v>
      </c>
      <c r="E20" s="65">
        <f t="shared" si="1"/>
        <v>29.758844095422013</v>
      </c>
      <c r="F20" s="6">
        <f t="shared" si="2"/>
        <v>30.034289049641671</v>
      </c>
      <c r="G20" s="6">
        <f t="shared" si="3"/>
        <v>3.3544914902130851E-2</v>
      </c>
      <c r="H20" s="6">
        <f t="shared" si="4"/>
        <v>30.405134743472104</v>
      </c>
      <c r="I20" s="6">
        <f t="shared" si="7"/>
        <v>1.8800073632304539</v>
      </c>
      <c r="J20" s="23"/>
      <c r="K20" s="23"/>
      <c r="L20" s="23"/>
      <c r="M20" s="23"/>
      <c r="N20" s="65">
        <f t="shared" si="5"/>
        <v>26.554114234003194</v>
      </c>
      <c r="O20" s="65">
        <f t="shared" si="6"/>
        <v>34.256155252941014</v>
      </c>
      <c r="Z20" s="56"/>
      <c r="AA20" s="56"/>
    </row>
    <row r="21" spans="2:27" x14ac:dyDescent="0.25">
      <c r="B21" s="125">
        <v>19</v>
      </c>
      <c r="C21" s="126">
        <v>27.68</v>
      </c>
      <c r="D21" s="65">
        <f t="shared" si="0"/>
        <v>29.40366473915055</v>
      </c>
      <c r="E21" s="65">
        <f t="shared" si="1"/>
        <v>29.785818808591216</v>
      </c>
      <c r="F21" s="6">
        <f t="shared" si="2"/>
        <v>29.021510669709883</v>
      </c>
      <c r="G21" s="6">
        <f t="shared" si="3"/>
        <v>-9.308085366971125E-2</v>
      </c>
      <c r="H21" s="6">
        <f t="shared" si="4"/>
        <v>30.067833964543802</v>
      </c>
      <c r="I21" s="6">
        <f t="shared" si="7"/>
        <v>2.2894426155389098</v>
      </c>
      <c r="J21" s="23"/>
      <c r="K21" s="23"/>
      <c r="L21" s="23"/>
      <c r="M21" s="23"/>
      <c r="N21" s="65">
        <f t="shared" si="5"/>
        <v>25.378123360143515</v>
      </c>
      <c r="O21" s="65">
        <f t="shared" si="6"/>
        <v>34.757544568944091</v>
      </c>
      <c r="Z21" s="56"/>
      <c r="AA21" s="56"/>
    </row>
    <row r="22" spans="2:27" x14ac:dyDescent="0.25">
      <c r="B22" s="125">
        <v>20</v>
      </c>
      <c r="C22" s="126">
        <v>30.22</v>
      </c>
      <c r="D22" s="65">
        <f t="shared" si="0"/>
        <v>29.066062897285807</v>
      </c>
      <c r="E22" s="65">
        <f t="shared" si="1"/>
        <v>29.710969033696561</v>
      </c>
      <c r="F22" s="6">
        <f t="shared" si="2"/>
        <v>28.421156760875053</v>
      </c>
      <c r="G22" s="6">
        <f t="shared" si="3"/>
        <v>-0.15707909064479622</v>
      </c>
      <c r="H22" s="6">
        <f t="shared" si="4"/>
        <v>28.928429816040172</v>
      </c>
      <c r="I22" s="6">
        <f t="shared" si="7"/>
        <v>2.3467242984271381</v>
      </c>
      <c r="J22" s="23"/>
      <c r="K22" s="23"/>
      <c r="L22" s="23"/>
      <c r="M22" s="23"/>
      <c r="N22" s="65">
        <f t="shared" si="5"/>
        <v>24.12138300331759</v>
      </c>
      <c r="O22" s="65">
        <f t="shared" si="6"/>
        <v>33.735476628762754</v>
      </c>
      <c r="Z22" s="56"/>
      <c r="AA22" s="56"/>
    </row>
    <row r="23" spans="2:27" x14ac:dyDescent="0.25">
      <c r="B23" s="125">
        <v>21</v>
      </c>
      <c r="C23" s="126">
        <v>29.24</v>
      </c>
      <c r="D23" s="65">
        <f t="shared" si="0"/>
        <v>29.292076275887709</v>
      </c>
      <c r="E23" s="65">
        <f t="shared" si="1"/>
        <v>29.584655897193322</v>
      </c>
      <c r="F23" s="6">
        <f t="shared" si="2"/>
        <v>28.999496654582096</v>
      </c>
      <c r="G23" s="6">
        <f t="shared" si="3"/>
        <v>-7.1263302147605706E-2</v>
      </c>
      <c r="H23" s="6">
        <f t="shared" si="4"/>
        <v>28.264077670230257</v>
      </c>
      <c r="I23" s="6">
        <f t="shared" si="7"/>
        <v>1.6655658674122527</v>
      </c>
      <c r="J23" s="23"/>
      <c r="K23" s="23"/>
      <c r="L23" s="23"/>
      <c r="M23" s="23"/>
      <c r="N23" s="65">
        <f t="shared" si="5"/>
        <v>24.852320652292608</v>
      </c>
      <c r="O23" s="65">
        <f t="shared" si="6"/>
        <v>31.675834688167907</v>
      </c>
      <c r="Z23" s="56"/>
      <c r="AA23" s="56"/>
    </row>
    <row r="24" spans="2:27" x14ac:dyDescent="0.25">
      <c r="B24" s="125">
        <v>22</v>
      </c>
      <c r="C24" s="126">
        <v>28.75</v>
      </c>
      <c r="D24" s="65">
        <f t="shared" si="0"/>
        <v>29.281876469476508</v>
      </c>
      <c r="E24" s="65">
        <f t="shared" si="1"/>
        <v>29.527350426586818</v>
      </c>
      <c r="F24" s="6">
        <f t="shared" si="2"/>
        <v>29.036402512366198</v>
      </c>
      <c r="G24" s="6">
        <f t="shared" si="3"/>
        <v>-5.9789826430350912E-2</v>
      </c>
      <c r="H24" s="6">
        <f t="shared" si="4"/>
        <v>28.928233352434489</v>
      </c>
      <c r="I24" s="6">
        <f>SQRT(SUMXMY2(C22:C24,H22:H24)/3)</f>
        <v>0.94027390721308035</v>
      </c>
      <c r="J24" s="23"/>
      <c r="K24" s="23"/>
      <c r="L24" s="23"/>
      <c r="M24" s="23"/>
      <c r="N24" s="65">
        <f t="shared" si="5"/>
        <v>27.002169565655496</v>
      </c>
      <c r="O24" s="65">
        <f t="shared" si="6"/>
        <v>30.854297139213482</v>
      </c>
      <c r="Z24" s="56"/>
      <c r="AA24" s="56"/>
    </row>
    <row r="25" spans="2:27" x14ac:dyDescent="0.25">
      <c r="B25" s="125">
        <v>23</v>
      </c>
      <c r="C25" s="126">
        <v>28.02</v>
      </c>
      <c r="D25" s="65">
        <f t="shared" si="0"/>
        <v>29.17770164263154</v>
      </c>
      <c r="E25" s="65">
        <f t="shared" si="1"/>
        <v>29.479271204352969</v>
      </c>
      <c r="F25" s="6">
        <f t="shared" si="2"/>
        <v>28.876132080910111</v>
      </c>
      <c r="G25" s="6">
        <f t="shared" si="3"/>
        <v>-7.345297221855053E-2</v>
      </c>
      <c r="H25" s="6">
        <f t="shared" si="4"/>
        <v>28.976612685935848</v>
      </c>
      <c r="I25" s="6">
        <f t="shared" si="7"/>
        <v>0.7956756777642161</v>
      </c>
      <c r="J25" s="23"/>
      <c r="K25" s="23"/>
      <c r="L25" s="23"/>
      <c r="M25" s="23"/>
      <c r="N25" s="65">
        <f t="shared" si="5"/>
        <v>27.346744945050855</v>
      </c>
      <c r="O25" s="65">
        <f t="shared" si="6"/>
        <v>30.606480426820841</v>
      </c>
      <c r="Z25" s="56"/>
      <c r="AA25" s="56"/>
    </row>
    <row r="26" spans="2:27" x14ac:dyDescent="0.25">
      <c r="B26" s="125">
        <v>24</v>
      </c>
      <c r="C26" s="126">
        <v>26.69</v>
      </c>
      <c r="D26" s="65">
        <f t="shared" si="0"/>
        <v>28.950950930613807</v>
      </c>
      <c r="E26" s="65">
        <f t="shared" si="1"/>
        <v>29.420204938637241</v>
      </c>
      <c r="F26" s="6">
        <f t="shared" si="2"/>
        <v>28.481696922590373</v>
      </c>
      <c r="G26" s="6">
        <f t="shared" si="3"/>
        <v>-0.11429569157456354</v>
      </c>
      <c r="H26" s="6">
        <f t="shared" si="4"/>
        <v>28.80267910869156</v>
      </c>
      <c r="I26" s="6">
        <f t="shared" si="7"/>
        <v>1.3429182123414658</v>
      </c>
      <c r="J26" s="23"/>
      <c r="K26" s="23"/>
      <c r="L26" s="23"/>
      <c r="M26" s="23"/>
      <c r="N26" s="65">
        <f t="shared" si="5"/>
        <v>26.051835851684398</v>
      </c>
      <c r="O26" s="65">
        <f t="shared" si="6"/>
        <v>31.553522365698722</v>
      </c>
      <c r="Z26" s="56"/>
      <c r="AA26" s="56"/>
    </row>
    <row r="27" spans="2:27" x14ac:dyDescent="0.25">
      <c r="B27" s="125">
        <v>25</v>
      </c>
      <c r="C27" s="126">
        <v>25.08</v>
      </c>
      <c r="D27" s="65">
        <f t="shared" si="0"/>
        <v>28.508114698483656</v>
      </c>
      <c r="E27" s="65">
        <f t="shared" si="1"/>
        <v>29.328295523881103</v>
      </c>
      <c r="F27" s="6">
        <f t="shared" si="2"/>
        <v>27.687933873086209</v>
      </c>
      <c r="G27" s="6">
        <f t="shared" si="3"/>
        <v>-0.19977055720814679</v>
      </c>
      <c r="H27" s="6">
        <f t="shared" si="4"/>
        <v>28.367401231015808</v>
      </c>
      <c r="I27" s="6">
        <f t="shared" si="7"/>
        <v>2.322751794810014</v>
      </c>
      <c r="J27" s="23"/>
      <c r="K27" s="23"/>
      <c r="L27" s="23"/>
      <c r="M27" s="23"/>
      <c r="N27" s="65">
        <f t="shared" si="5"/>
        <v>23.609459865909251</v>
      </c>
      <c r="O27" s="65">
        <f t="shared" si="6"/>
        <v>33.125342596122366</v>
      </c>
      <c r="Z27" s="56"/>
      <c r="AA27" s="56"/>
    </row>
    <row r="28" spans="2:27" x14ac:dyDescent="0.25">
      <c r="B28" s="125">
        <v>26</v>
      </c>
      <c r="C28" s="126">
        <v>23.39</v>
      </c>
      <c r="D28" s="65">
        <f t="shared" si="0"/>
        <v>27.836674475774199</v>
      </c>
      <c r="E28" s="65">
        <f t="shared" si="1"/>
        <v>29.167652591977316</v>
      </c>
      <c r="F28" s="6">
        <f t="shared" si="2"/>
        <v>26.505696359571083</v>
      </c>
      <c r="G28" s="6">
        <f t="shared" si="3"/>
        <v>-0.32418490127088723</v>
      </c>
      <c r="H28" s="6">
        <f t="shared" si="4"/>
        <v>27.488163315878062</v>
      </c>
      <c r="I28" s="6">
        <f t="shared" si="7"/>
        <v>3.2693201349105538</v>
      </c>
      <c r="J28" s="23"/>
      <c r="K28" s="23"/>
      <c r="L28" s="23"/>
      <c r="M28" s="23"/>
      <c r="N28" s="65">
        <f t="shared" si="5"/>
        <v>20.791264602712289</v>
      </c>
      <c r="O28" s="65">
        <f t="shared" si="6"/>
        <v>34.185062029043834</v>
      </c>
      <c r="Z28" s="56"/>
      <c r="AA28" s="56"/>
    </row>
    <row r="29" spans="2:27" x14ac:dyDescent="0.25">
      <c r="B29" s="125">
        <v>27</v>
      </c>
      <c r="C29" s="126">
        <v>22.65</v>
      </c>
      <c r="D29" s="65">
        <f t="shared" si="0"/>
        <v>26.965736259602224</v>
      </c>
      <c r="E29" s="65">
        <f t="shared" si="1"/>
        <v>28.906963460671378</v>
      </c>
      <c r="F29" s="6">
        <f t="shared" si="2"/>
        <v>25.02450905853307</v>
      </c>
      <c r="G29" s="6">
        <f t="shared" si="3"/>
        <v>-0.47282261132753761</v>
      </c>
      <c r="H29" s="6">
        <f t="shared" si="4"/>
        <v>26.181511458300196</v>
      </c>
      <c r="I29" s="6">
        <f t="shared" si="7"/>
        <v>3.6548380081474896</v>
      </c>
      <c r="J29" s="23"/>
      <c r="K29" s="23"/>
      <c r="L29" s="23"/>
      <c r="M29" s="23"/>
      <c r="N29" s="65">
        <f t="shared" si="5"/>
        <v>18.694915180306172</v>
      </c>
      <c r="O29" s="65">
        <f t="shared" si="6"/>
        <v>33.668107736294218</v>
      </c>
      <c r="Z29" s="56"/>
      <c r="AA29" s="56"/>
    </row>
    <row r="30" spans="2:27" x14ac:dyDescent="0.25">
      <c r="B30" s="125">
        <v>28</v>
      </c>
      <c r="C30" s="126">
        <v>22.02</v>
      </c>
      <c r="D30" s="65">
        <f t="shared" si="0"/>
        <v>26.120443972099608</v>
      </c>
      <c r="E30" s="65">
        <f t="shared" si="1"/>
        <v>28.526749220817599</v>
      </c>
      <c r="F30" s="6">
        <f t="shared" si="2"/>
        <v>23.714138723381616</v>
      </c>
      <c r="G30" s="6">
        <f t="shared" si="3"/>
        <v>-0.58610116874694951</v>
      </c>
      <c r="H30" s="6">
        <f t="shared" si="4"/>
        <v>24.551686447205533</v>
      </c>
      <c r="I30" s="6">
        <f t="shared" si="7"/>
        <v>3.4484756057654629</v>
      </c>
      <c r="J30" s="23"/>
      <c r="K30" s="23"/>
      <c r="L30" s="23"/>
      <c r="M30" s="23"/>
      <c r="N30" s="65">
        <f t="shared" si="5"/>
        <v>17.487804388048879</v>
      </c>
      <c r="O30" s="65">
        <f t="shared" si="6"/>
        <v>31.615568506362187</v>
      </c>
      <c r="Z30" s="56"/>
      <c r="AA30" s="56"/>
    </row>
    <row r="31" spans="2:27" x14ac:dyDescent="0.25">
      <c r="B31" s="125">
        <v>29</v>
      </c>
      <c r="C31" s="126">
        <v>23.39</v>
      </c>
      <c r="D31" s="65">
        <f t="shared" si="0"/>
        <v>25.317319439816011</v>
      </c>
      <c r="E31" s="65">
        <f t="shared" si="1"/>
        <v>28.055443481595745</v>
      </c>
      <c r="F31" s="6">
        <f t="shared" si="2"/>
        <v>22.579195398036276</v>
      </c>
      <c r="G31" s="6">
        <f t="shared" si="3"/>
        <v>-0.66692191355033748</v>
      </c>
      <c r="H31" s="6">
        <f t="shared" si="4"/>
        <v>23.128037554634666</v>
      </c>
      <c r="I31" s="6">
        <f t="shared" si="7"/>
        <v>2.5132736798746209</v>
      </c>
      <c r="J31" s="23"/>
      <c r="K31" s="23"/>
      <c r="L31" s="23"/>
      <c r="M31" s="23"/>
      <c r="N31" s="65">
        <f t="shared" si="5"/>
        <v>17.979829799493476</v>
      </c>
      <c r="O31" s="65">
        <f t="shared" si="6"/>
        <v>28.276245309775856</v>
      </c>
      <c r="Z31" s="56"/>
      <c r="AA31" s="56"/>
    </row>
    <row r="32" spans="2:27" ht="18" x14ac:dyDescent="0.35">
      <c r="B32" s="125">
        <v>30</v>
      </c>
      <c r="C32" s="126">
        <v>26.35</v>
      </c>
      <c r="D32" s="65">
        <f t="shared" si="0"/>
        <v>24.93982921334409</v>
      </c>
      <c r="E32" s="65">
        <f t="shared" si="1"/>
        <v>27.519146776811652</v>
      </c>
      <c r="F32" s="6">
        <f t="shared" si="2"/>
        <v>22.360511649876528</v>
      </c>
      <c r="G32" s="6">
        <f t="shared" si="3"/>
        <v>-0.6282415912624898</v>
      </c>
      <c r="H32" s="6">
        <f>$F$31+$G$31</f>
        <v>21.91227348448594</v>
      </c>
      <c r="I32" s="6">
        <f>SQRT(SUMXMY2(C30:C32,H30:H32)/3)</f>
        <v>2.9536123203202402</v>
      </c>
      <c r="J32" s="107" t="s">
        <v>82</v>
      </c>
      <c r="K32" s="107" t="s">
        <v>81</v>
      </c>
      <c r="L32" s="132" t="s">
        <v>80</v>
      </c>
      <c r="M32" s="23"/>
      <c r="N32" s="65">
        <f t="shared" si="5"/>
        <v>15.862072913447538</v>
      </c>
      <c r="O32" s="65">
        <f t="shared" si="6"/>
        <v>27.962474055524343</v>
      </c>
      <c r="Z32" s="56"/>
      <c r="AA32" s="56"/>
    </row>
    <row r="33" spans="2:27" x14ac:dyDescent="0.25">
      <c r="B33" s="125">
        <v>1</v>
      </c>
      <c r="C33" s="95"/>
      <c r="D33" s="95"/>
      <c r="E33" s="95"/>
      <c r="F33" s="95"/>
      <c r="G33" s="95"/>
      <c r="H33" s="6">
        <f>$F$32+$G$32*B33</f>
        <v>21.732270058614038</v>
      </c>
      <c r="I33" s="6"/>
      <c r="J33" s="125">
        <v>1</v>
      </c>
      <c r="K33" s="6">
        <f>$J$6*SQRT(J33)</f>
        <v>1.6061615713747504</v>
      </c>
      <c r="L33" s="6">
        <f>K33*$J$5</f>
        <v>3.2900728336811111</v>
      </c>
      <c r="M33" s="23"/>
      <c r="N33" s="65">
        <f>H33-$J$5*L33</f>
        <v>14.992861369075133</v>
      </c>
      <c r="O33" s="65">
        <f>H33+$J$5*L33</f>
        <v>28.471678748152943</v>
      </c>
      <c r="Z33" s="56"/>
      <c r="AA33" s="56"/>
    </row>
    <row r="34" spans="2:27" x14ac:dyDescent="0.25">
      <c r="B34" s="125">
        <v>2</v>
      </c>
      <c r="C34" s="95"/>
      <c r="D34" s="95"/>
      <c r="E34" s="95"/>
      <c r="F34" s="95"/>
      <c r="G34" s="95"/>
      <c r="H34" s="6">
        <f t="shared" ref="H34:H38" si="8">$F$32+$G$32*B34</f>
        <v>21.104028467351547</v>
      </c>
      <c r="I34" s="6"/>
      <c r="J34" s="125">
        <v>2</v>
      </c>
      <c r="K34" s="6">
        <f t="shared" ref="K34:K38" si="9">$J$6*SQRT(J34)</f>
        <v>2.2714554776006541</v>
      </c>
      <c r="L34" s="6">
        <f t="shared" ref="L34:L38" si="10">K34*$J$5</f>
        <v>4.6528656225871083</v>
      </c>
      <c r="M34" s="23"/>
      <c r="N34" s="65">
        <f t="shared" ref="N34:N38" si="11">H34-$J$5*L34</f>
        <v>11.573065296230538</v>
      </c>
      <c r="O34" s="65">
        <f t="shared" ref="O34:O38" si="12">H34+$J$5*L34</f>
        <v>30.634991638472556</v>
      </c>
      <c r="Z34" s="56"/>
      <c r="AA34" s="56"/>
    </row>
    <row r="35" spans="2:27" x14ac:dyDescent="0.25">
      <c r="B35" s="125">
        <v>3</v>
      </c>
      <c r="C35" s="95"/>
      <c r="D35" s="95"/>
      <c r="E35" s="95"/>
      <c r="F35" s="95"/>
      <c r="G35" s="95"/>
      <c r="H35" s="6">
        <f t="shared" si="8"/>
        <v>20.47578687608906</v>
      </c>
      <c r="I35" s="6"/>
      <c r="J35" s="125">
        <v>3</v>
      </c>
      <c r="K35" s="6">
        <f t="shared" si="9"/>
        <v>2.781953446785733</v>
      </c>
      <c r="L35" s="6">
        <f t="shared" si="10"/>
        <v>5.6985733085377923</v>
      </c>
      <c r="M35" s="23"/>
      <c r="N35" s="65">
        <f t="shared" si="11"/>
        <v>8.8027886128364905</v>
      </c>
      <c r="O35" s="65">
        <f t="shared" si="12"/>
        <v>32.148785139341626</v>
      </c>
      <c r="Z35" s="56"/>
      <c r="AA35" s="56"/>
    </row>
    <row r="36" spans="2:27" x14ac:dyDescent="0.25">
      <c r="B36" s="125">
        <v>4</v>
      </c>
      <c r="C36" s="95"/>
      <c r="D36" s="95"/>
      <c r="E36" s="95"/>
      <c r="F36" s="95"/>
      <c r="G36" s="95"/>
      <c r="H36" s="6">
        <f t="shared" si="8"/>
        <v>19.84754528482657</v>
      </c>
      <c r="I36" s="6"/>
      <c r="J36" s="125">
        <v>4</v>
      </c>
      <c r="K36" s="6">
        <f t="shared" si="9"/>
        <v>3.2123231427495007</v>
      </c>
      <c r="L36" s="6">
        <f t="shared" si="10"/>
        <v>6.5801456673622223</v>
      </c>
      <c r="M36" s="23"/>
      <c r="N36" s="65">
        <f t="shared" si="11"/>
        <v>6.3687279057487576</v>
      </c>
      <c r="O36" s="65">
        <f t="shared" si="12"/>
        <v>33.326362663904384</v>
      </c>
      <c r="Z36" s="56"/>
      <c r="AA36" s="56"/>
    </row>
    <row r="37" spans="2:27" x14ac:dyDescent="0.25">
      <c r="B37" s="125">
        <v>5</v>
      </c>
      <c r="C37" s="95"/>
      <c r="D37" s="95"/>
      <c r="E37" s="95"/>
      <c r="F37" s="95"/>
      <c r="G37" s="95"/>
      <c r="H37" s="6">
        <f t="shared" si="8"/>
        <v>19.219303693564079</v>
      </c>
      <c r="I37" s="6"/>
      <c r="J37" s="125">
        <v>5</v>
      </c>
      <c r="K37" s="6">
        <f>$J$6*SQRT(J37)</f>
        <v>3.5914864564418223</v>
      </c>
      <c r="L37" s="6">
        <f t="shared" si="10"/>
        <v>7.3568265070363239</v>
      </c>
      <c r="M37" s="23"/>
      <c r="N37" s="65">
        <f t="shared" si="11"/>
        <v>4.1495277356023106</v>
      </c>
      <c r="O37" s="65">
        <f t="shared" si="12"/>
        <v>34.289079651525846</v>
      </c>
      <c r="Z37" s="56"/>
      <c r="AA37" s="56"/>
    </row>
    <row r="38" spans="2:27" x14ac:dyDescent="0.25">
      <c r="B38" s="125">
        <v>6</v>
      </c>
      <c r="C38" s="95"/>
      <c r="D38" s="95"/>
      <c r="E38" s="95"/>
      <c r="F38" s="95"/>
      <c r="G38" s="95"/>
      <c r="H38" s="6">
        <f t="shared" si="8"/>
        <v>18.591062102301589</v>
      </c>
      <c r="I38" s="6"/>
      <c r="J38" s="125">
        <v>6</v>
      </c>
      <c r="K38" s="6">
        <f t="shared" si="9"/>
        <v>3.9342762943349618</v>
      </c>
      <c r="L38" s="6">
        <f t="shared" si="10"/>
        <v>8.0589996591114659</v>
      </c>
      <c r="M38" s="23"/>
      <c r="N38" s="65">
        <f t="shared" si="11"/>
        <v>2.0829496448522207</v>
      </c>
      <c r="O38" s="65">
        <f t="shared" si="12"/>
        <v>35.099174559750956</v>
      </c>
      <c r="Z38" s="56"/>
      <c r="AA38" s="56"/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62" orientation="landscape" horizontalDpi="0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Y65"/>
  <sheetViews>
    <sheetView zoomScale="80" zoomScaleNormal="80" workbookViewId="0">
      <selection activeCell="A2" sqref="A2"/>
    </sheetView>
  </sheetViews>
  <sheetFormatPr defaultColWidth="8.85546875" defaultRowHeight="15" x14ac:dyDescent="0.25"/>
  <cols>
    <col min="1" max="2" width="8.85546875" style="2"/>
    <col min="3" max="3" width="10.28515625" style="2" customWidth="1"/>
    <col min="4" max="6" width="8.85546875" style="2"/>
    <col min="7" max="15" width="12.5703125" style="2" customWidth="1"/>
    <col min="16" max="16" width="11.5703125" style="2" customWidth="1"/>
    <col min="17" max="17" width="14.140625" style="2" customWidth="1"/>
    <col min="18" max="22" width="8.85546875" style="2"/>
    <col min="23" max="23" width="11.7109375" style="2" customWidth="1"/>
    <col min="24" max="16384" width="8.85546875" style="2"/>
  </cols>
  <sheetData>
    <row r="1" spans="1:25" x14ac:dyDescent="0.25">
      <c r="A1" s="73" t="s">
        <v>177</v>
      </c>
    </row>
    <row r="3" spans="1:25" x14ac:dyDescent="0.25">
      <c r="A3" s="80" t="s">
        <v>1</v>
      </c>
      <c r="B3" s="80" t="s">
        <v>27</v>
      </c>
      <c r="C3" s="80" t="s">
        <v>110</v>
      </c>
      <c r="D3" s="81" t="s">
        <v>111</v>
      </c>
      <c r="E3" s="82" t="s">
        <v>112</v>
      </c>
      <c r="F3" s="83" t="s">
        <v>113</v>
      </c>
      <c r="G3" s="84" t="s">
        <v>114</v>
      </c>
      <c r="H3" s="85" t="s">
        <v>16</v>
      </c>
      <c r="I3" s="86" t="s">
        <v>115</v>
      </c>
      <c r="J3" s="86" t="s">
        <v>116</v>
      </c>
      <c r="K3" s="81" t="s">
        <v>122</v>
      </c>
      <c r="L3" s="82" t="s">
        <v>117</v>
      </c>
      <c r="M3" s="83" t="s">
        <v>118</v>
      </c>
      <c r="N3" s="84" t="s">
        <v>119</v>
      </c>
      <c r="O3" s="87" t="s">
        <v>120</v>
      </c>
      <c r="P3" s="85" t="s">
        <v>121</v>
      </c>
      <c r="R3" s="81" t="s">
        <v>111</v>
      </c>
      <c r="S3" s="82" t="s">
        <v>130</v>
      </c>
      <c r="T3" s="83" t="s">
        <v>113</v>
      </c>
      <c r="U3" s="84" t="s">
        <v>131</v>
      </c>
      <c r="V3" s="87" t="s">
        <v>16</v>
      </c>
      <c r="W3" s="85" t="s">
        <v>115</v>
      </c>
      <c r="X3" s="80" t="s">
        <v>29</v>
      </c>
      <c r="Y3" s="80" t="s">
        <v>30</v>
      </c>
    </row>
    <row r="4" spans="1:25" x14ac:dyDescent="0.25">
      <c r="A4" s="57">
        <v>1960</v>
      </c>
      <c r="B4" s="57">
        <v>1</v>
      </c>
      <c r="C4" s="57">
        <v>17.5</v>
      </c>
      <c r="D4" s="61">
        <f>-0.0995*B4+16.629</f>
        <v>16.529500000000002</v>
      </c>
      <c r="E4" s="61">
        <f>0.0033*B4^2-0.2996*B4+18.663</f>
        <v>18.366700000000002</v>
      </c>
      <c r="F4" s="61">
        <f>21.048*B4^-0.142</f>
        <v>21.047999999999998</v>
      </c>
      <c r="G4" s="61">
        <f>-0.0001*B4^3+0.0142*B4^2-0.5631*B4+20.036</f>
        <v>19.487000000000002</v>
      </c>
      <c r="I4" t="e">
        <v>#N/A</v>
      </c>
      <c r="J4" t="e">
        <v>#N/A</v>
      </c>
      <c r="K4" s="62">
        <f>$C4-D4</f>
        <v>0.9704999999999977</v>
      </c>
      <c r="L4" s="62">
        <f t="shared" ref="L4:N4" si="0">$C4-E4</f>
        <v>-0.86670000000000158</v>
      </c>
      <c r="M4" s="62">
        <f t="shared" si="0"/>
        <v>-3.5479999999999983</v>
      </c>
      <c r="N4" s="62">
        <f t="shared" si="0"/>
        <v>-1.9870000000000019</v>
      </c>
      <c r="O4" s="62"/>
      <c r="P4" s="62"/>
      <c r="Q4" s="60" t="s">
        <v>123</v>
      </c>
      <c r="R4" s="78">
        <f>(SUM($C$4:$C$62)-SUM(D4:D62))/COUNT($C$4:$C$62)</f>
        <v>6.7796610164034559E-5</v>
      </c>
      <c r="S4" s="58">
        <f>(SUM($C$4:$C$62)-SUM(E4:E62))/COUNT($C$4:$C$62)</f>
        <v>4.2067796610172854E-2</v>
      </c>
      <c r="T4" s="58">
        <f>(SUM($C$4:$C$62)-SUM(F4:F62))/COUNT($C$4:$C$62)</f>
        <v>2.8740974641095818E-2</v>
      </c>
      <c r="U4" s="58">
        <f>(SUM($C$4:$C$62)-SUM(G4:G62))/COUNT($C$4:$C$62)</f>
        <v>-1.0869322033898348</v>
      </c>
      <c r="V4" s="58">
        <f>(SUM($C$9:$C$62)-SUM(H9:H62))/COUNT($C$9:$C$62)</f>
        <v>-0.3866666666666666</v>
      </c>
      <c r="W4" s="58">
        <f>(SUM($C$5:$C$62)-SUM(I5:I62))/COUNT($C$5:$C$62)</f>
        <v>-0.3378009291063967</v>
      </c>
      <c r="X4" s="4"/>
      <c r="Y4" s="4"/>
    </row>
    <row r="5" spans="1:25" x14ac:dyDescent="0.25">
      <c r="A5" s="57">
        <v>1961</v>
      </c>
      <c r="B5" s="57">
        <v>2</v>
      </c>
      <c r="C5" s="57">
        <v>17.899999999999999</v>
      </c>
      <c r="D5" s="61">
        <f t="shared" ref="D5:D63" si="1">-0.0995*B5+16.629</f>
        <v>16.43</v>
      </c>
      <c r="E5" s="61">
        <f t="shared" ref="E5:E63" si="2">0.0033*B5^2-0.2996*B5+18.663</f>
        <v>18.077000000000002</v>
      </c>
      <c r="F5" s="61">
        <f t="shared" ref="F5:F63" si="3">21.048*B5^-0.142</f>
        <v>19.075001276650855</v>
      </c>
      <c r="G5" s="61">
        <f t="shared" ref="G5:G63" si="4">-0.0001*B5^3+0.0142*B5^2-0.5631*B5+20.036</f>
        <v>18.965800000000002</v>
      </c>
      <c r="H5" t="e">
        <v>#N/A</v>
      </c>
      <c r="I5" s="62">
        <f>C4</f>
        <v>17.5</v>
      </c>
      <c r="J5" t="e">
        <v>#N/A</v>
      </c>
      <c r="K5" s="62">
        <f t="shared" ref="K5:K62" si="5">$C5-D5</f>
        <v>1.4699999999999989</v>
      </c>
      <c r="L5" s="62">
        <f t="shared" ref="L5:L62" si="6">$C5-E5</f>
        <v>-0.17700000000000315</v>
      </c>
      <c r="M5" s="62">
        <f t="shared" ref="M5:M62" si="7">$C5-F5</f>
        <v>-1.1750012766508569</v>
      </c>
      <c r="N5" s="62">
        <f t="shared" ref="N5:N62" si="8">$C5-G5</f>
        <v>-1.065800000000003</v>
      </c>
      <c r="O5" s="62"/>
      <c r="P5" s="62">
        <f t="shared" ref="P5:P61" si="9">$C5-I5</f>
        <v>0.39999999999999858</v>
      </c>
      <c r="Q5" s="60" t="s">
        <v>124</v>
      </c>
      <c r="R5" s="58">
        <f t="array" ref="R5">SUM(ABS(K4:K62))/COUNT(K4:K62)</f>
        <v>1.0715593220338986</v>
      </c>
      <c r="S5" s="58">
        <f t="array" ref="S5">SUM(ABS(L4:L62))/COUNT(L4:L62)</f>
        <v>0.81714915254237297</v>
      </c>
      <c r="T5" s="58">
        <f t="array" ref="T5">SUM(ABS(M4:M62))/COUNT(M4:M62)</f>
        <v>0.83888182610231665</v>
      </c>
      <c r="U5" s="58">
        <f t="array" ref="U5">SUM(ABS(N4:N62))/COUNT(N4:N62)</f>
        <v>1.492132203389831</v>
      </c>
      <c r="V5" s="58">
        <f t="array" ref="V5">SUM(ABS(O9:O62))/COUNT(O9:O62)</f>
        <v>0.73111111111111093</v>
      </c>
      <c r="W5" s="78">
        <f t="array" ref="W5">SUM(ABS(P5:P62))/COUNT(P5:P62)</f>
        <v>0.66226588819217513</v>
      </c>
      <c r="X5" s="79"/>
      <c r="Y5" s="79"/>
    </row>
    <row r="6" spans="1:25" x14ac:dyDescent="0.25">
      <c r="A6" s="57">
        <v>1962</v>
      </c>
      <c r="B6" s="57">
        <v>3</v>
      </c>
      <c r="C6" s="57">
        <v>18.3</v>
      </c>
      <c r="D6" s="61">
        <f t="shared" si="1"/>
        <v>16.330500000000001</v>
      </c>
      <c r="E6" s="61">
        <f t="shared" si="2"/>
        <v>17.793900000000001</v>
      </c>
      <c r="F6" s="61">
        <f t="shared" si="3"/>
        <v>18.007756806171692</v>
      </c>
      <c r="G6" s="61">
        <f t="shared" si="4"/>
        <v>18.471800000000002</v>
      </c>
      <c r="H6" t="e">
        <v>#N/A</v>
      </c>
      <c r="I6" s="62">
        <f t="shared" ref="I6:I37" si="10">0.3*C5+0.7*I5</f>
        <v>17.619999999999997</v>
      </c>
      <c r="J6" t="e">
        <v>#N/A</v>
      </c>
      <c r="K6" s="62">
        <f t="shared" si="5"/>
        <v>1.9695</v>
      </c>
      <c r="L6" s="62">
        <f t="shared" si="6"/>
        <v>0.50609999999999999</v>
      </c>
      <c r="M6" s="62">
        <f t="shared" si="7"/>
        <v>0.29224319382830899</v>
      </c>
      <c r="N6" s="62">
        <f t="shared" si="8"/>
        <v>-0.17180000000000106</v>
      </c>
      <c r="O6" s="62"/>
      <c r="P6" s="62">
        <f t="shared" si="9"/>
        <v>0.68000000000000327</v>
      </c>
      <c r="Q6" s="60" t="s">
        <v>125</v>
      </c>
      <c r="R6" s="59">
        <f>SUMXMY2($C$4:$C$62,D4:D62)/COUNT($C$4:$C$62)</f>
        <v>1.7484915508474581</v>
      </c>
      <c r="S6" s="59">
        <f>SUMXMY2($C$4:$C$62,E4:E62)/COUNT($C$4:$C$62)</f>
        <v>1.0038444884745761</v>
      </c>
      <c r="T6" s="59">
        <f>SUMXMY2($C$4:$C$62,F4:F62)/COUNT($C$4:$C$62)</f>
        <v>1.1951285320248235</v>
      </c>
      <c r="U6" s="59">
        <f>SUMXMY2($C$4:$C$62,G4:G62)/COUNT($C$4:$C$62)</f>
        <v>3.4743207437288151</v>
      </c>
      <c r="V6" s="59">
        <f>SUMXMY2($C$9:$C$62,H9:H62)/COUNT($C$9:$C$62)</f>
        <v>0.87439999999999973</v>
      </c>
      <c r="W6" s="76">
        <f>SUMXMY2($C$5:$C$62,I5:I62)/COUNT($C$5:$C$62)</f>
        <v>0.76605867212834</v>
      </c>
      <c r="X6" s="79"/>
      <c r="Y6" s="79"/>
    </row>
    <row r="7" spans="1:25" x14ac:dyDescent="0.25">
      <c r="A7" s="57">
        <v>1963</v>
      </c>
      <c r="B7" s="57">
        <v>4</v>
      </c>
      <c r="C7" s="57">
        <v>18.5</v>
      </c>
      <c r="D7" s="61">
        <f t="shared" si="1"/>
        <v>16.231000000000002</v>
      </c>
      <c r="E7" s="61">
        <f t="shared" si="2"/>
        <v>17.517400000000002</v>
      </c>
      <c r="F7" s="61">
        <f t="shared" si="3"/>
        <v>17.286947629429481</v>
      </c>
      <c r="G7" s="61">
        <f t="shared" si="4"/>
        <v>18.0044</v>
      </c>
      <c r="H7" t="e">
        <v>#N/A</v>
      </c>
      <c r="I7" s="62">
        <f t="shared" si="10"/>
        <v>17.823999999999998</v>
      </c>
      <c r="J7" t="e">
        <v>#N/A</v>
      </c>
      <c r="K7" s="62">
        <f t="shared" si="5"/>
        <v>2.2689999999999984</v>
      </c>
      <c r="L7" s="62">
        <f t="shared" si="6"/>
        <v>0.98259999999999792</v>
      </c>
      <c r="M7" s="62">
        <f t="shared" si="7"/>
        <v>1.2130523705705194</v>
      </c>
      <c r="N7" s="62">
        <f t="shared" si="8"/>
        <v>0.4955999999999996</v>
      </c>
      <c r="O7" s="62"/>
      <c r="P7" s="62">
        <f t="shared" si="9"/>
        <v>0.67600000000000193</v>
      </c>
      <c r="Q7" s="60" t="s">
        <v>126</v>
      </c>
      <c r="R7" s="59">
        <f>SQRT(SUMXMY2($C$4:$C$62,D4:D62)/COUNT($C$4:$C$62))</f>
        <v>1.3223053924292445</v>
      </c>
      <c r="S7" s="59">
        <f>SQRT(SUMXMY2($C$4:$C$62,E4:E62)/COUNT($C$4:$C$62))</f>
        <v>1.0019204002686921</v>
      </c>
      <c r="T7" s="59">
        <f>SQRT(SUMXMY2($C$4:$C$62,F4:F62)/COUNT($C$4:$C$62))</f>
        <v>1.0932193430528128</v>
      </c>
      <c r="U7" s="59">
        <f>SQRT(SUMXMY2($C$4:$C$62,G4:G62)/COUNT($C$4:$C$62))</f>
        <v>1.8639529886048132</v>
      </c>
      <c r="V7" s="59">
        <f>SQRT(SUMXMY2($C$9:$C$62,H9:H62)/COUNT($C$9:$C$62))</f>
        <v>0.9350935782048766</v>
      </c>
      <c r="W7" s="76">
        <f>SQRT(SUMXMY2($C$5:$C$62,I5:I62)/COUNT($C$5:$C$62))</f>
        <v>0.87524777756263972</v>
      </c>
      <c r="X7" s="79"/>
      <c r="Y7" s="79"/>
    </row>
    <row r="8" spans="1:25" x14ac:dyDescent="0.25">
      <c r="A8" s="57">
        <v>1964</v>
      </c>
      <c r="B8" s="57">
        <v>5</v>
      </c>
      <c r="C8" s="57">
        <v>18.8</v>
      </c>
      <c r="D8" s="61">
        <f t="shared" si="1"/>
        <v>16.131500000000003</v>
      </c>
      <c r="E8" s="61">
        <f t="shared" si="2"/>
        <v>17.247500000000002</v>
      </c>
      <c r="F8" s="61">
        <f t="shared" si="3"/>
        <v>16.747774104758236</v>
      </c>
      <c r="G8" s="61">
        <f t="shared" si="4"/>
        <v>17.563000000000002</v>
      </c>
      <c r="H8" t="e">
        <v>#N/A</v>
      </c>
      <c r="I8" s="62">
        <f t="shared" si="10"/>
        <v>18.026799999999998</v>
      </c>
      <c r="J8" s="62">
        <f t="shared" ref="J8:J39" si="11">SQRT(SUMXMY2(C5:C7,I5:I7)/3)</f>
        <v>0.59982664162239574</v>
      </c>
      <c r="K8" s="62">
        <f t="shared" si="5"/>
        <v>2.6684999999999981</v>
      </c>
      <c r="L8" s="62">
        <f t="shared" si="6"/>
        <v>1.5524999999999984</v>
      </c>
      <c r="M8" s="62">
        <f t="shared" si="7"/>
        <v>2.0522258952417651</v>
      </c>
      <c r="N8" s="62">
        <f t="shared" si="8"/>
        <v>1.2369999999999983</v>
      </c>
      <c r="O8" s="62"/>
      <c r="P8" s="62">
        <f t="shared" si="9"/>
        <v>0.77320000000000277</v>
      </c>
      <c r="Q8" s="60" t="s">
        <v>127</v>
      </c>
      <c r="R8" s="58">
        <f t="array" ref="R8">SUM((($C$4:$C$62)-(D4:D62))/($C$4:$C$62))/COUNT($C$4:$C$62)</f>
        <v>-7.910793278657206E-3</v>
      </c>
      <c r="S8" s="78">
        <f t="array" ref="S8">SUM((($C$4:$C$62)-(E4:E62))/($C$4:$C$62))/COUNT($C$4:$C$62)</f>
        <v>-1.6395740933401245E-3</v>
      </c>
      <c r="T8" s="78">
        <f t="array" ref="T8">SUM((($C$4:$C$62)-(F4:F62))/($C$4:$C$62))/COUNT($C$4:$C$62)</f>
        <v>-3.3745281124638537E-3</v>
      </c>
      <c r="U8" s="58">
        <f t="array" ref="U8">SUM((($C$4:$C$62)-(G4:G62))/($C$4:$C$62))/COUNT($C$4:$C$62)</f>
        <v>-9.3261124189561256E-2</v>
      </c>
      <c r="V8" s="58">
        <f t="array" ref="V8">SUM((($C$9:$C$62)-(H9:H62))/($C$9:$C$62))/COUNT($C$9:$C$62)</f>
        <v>-2.9393347424896566E-2</v>
      </c>
      <c r="W8" s="58">
        <f t="array" ref="W8">SUM((($C$5:$C$62)-(I5:I62))/($C$5:$C$62))/COUNT($C$5:$C$62)</f>
        <v>-2.6963627974717398E-2</v>
      </c>
      <c r="X8" s="91">
        <f>I8-J8*$Q$13</f>
        <v>16.825202847252246</v>
      </c>
      <c r="Y8" s="91">
        <f>I8+J8*$Q$13</f>
        <v>19.22839715274775</v>
      </c>
    </row>
    <row r="9" spans="1:25" x14ac:dyDescent="0.25">
      <c r="A9" s="57">
        <v>1965</v>
      </c>
      <c r="B9" s="57">
        <v>6</v>
      </c>
      <c r="C9" s="57">
        <v>18.3</v>
      </c>
      <c r="D9" s="61">
        <f t="shared" si="1"/>
        <v>16.032</v>
      </c>
      <c r="E9" s="61">
        <f t="shared" si="2"/>
        <v>16.984200000000001</v>
      </c>
      <c r="F9" s="61">
        <f t="shared" si="3"/>
        <v>16.319744587007943</v>
      </c>
      <c r="G9" s="61">
        <f t="shared" si="4"/>
        <v>17.147000000000002</v>
      </c>
      <c r="H9" s="62">
        <f t="shared" ref="H9:H40" si="12">AVERAGE(C4:C8)</f>
        <v>18.2</v>
      </c>
      <c r="I9" s="62">
        <f t="shared" si="10"/>
        <v>18.258759999999999</v>
      </c>
      <c r="J9" s="62">
        <f t="shared" si="11"/>
        <v>0.71115264184280713</v>
      </c>
      <c r="K9" s="62">
        <f t="shared" si="5"/>
        <v>2.2680000000000007</v>
      </c>
      <c r="L9" s="62">
        <f t="shared" si="6"/>
        <v>1.3157999999999994</v>
      </c>
      <c r="M9" s="62">
        <f t="shared" si="7"/>
        <v>1.980255412992058</v>
      </c>
      <c r="N9" s="62">
        <f t="shared" si="8"/>
        <v>1.1529999999999987</v>
      </c>
      <c r="O9" s="62">
        <f t="shared" ref="O9:O61" si="13">$C9-H9</f>
        <v>0.10000000000000142</v>
      </c>
      <c r="P9" s="62">
        <f t="shared" si="9"/>
        <v>4.1240000000001942E-2</v>
      </c>
      <c r="Q9" s="60" t="s">
        <v>128</v>
      </c>
      <c r="R9" s="58">
        <f t="array" ref="R9">SUM(ABS(($C$4:$C$62)-(D4:D62))/($C$4:$C$62))/COUNT($C$4:$C$62)</f>
        <v>7.8135750187184327E-2</v>
      </c>
      <c r="S9" s="58">
        <f t="array" ref="S9">SUM(ABS(($C$4:$C$62)-(E4:E62))/($C$4:$C$62))/COUNT($C$4:$C$62)</f>
        <v>6.0826238574010871E-2</v>
      </c>
      <c r="T9" s="58">
        <f t="array" ref="T9">SUM(ABS(($C$4:$C$62)-(F4:F62))/($C$4:$C$62))/COUNT($C$4:$C$62)</f>
        <v>5.9428332033112839E-2</v>
      </c>
      <c r="U9" s="58">
        <f t="array" ref="U9">SUM(ABS(($C$4:$C$62)-(G4:G62))/($C$4:$C$62))/COUNT($C$4:$C$62)</f>
        <v>0.11808486809812881</v>
      </c>
      <c r="V9" s="78">
        <f t="array" ref="V9">SUM(ABS(($C$9:$C$62)-(H9:H62))/($C$9:$C$62))/COUNT($C$9:$C$62)</f>
        <v>5.5793046878861545E-2</v>
      </c>
      <c r="W9" s="78">
        <f t="array" ref="W9">SUM(ABS(($C$5:$C$62)-(I5:I62))/($C$5:$C$62))/COUNT($C$5:$C$62)</f>
        <v>4.9813676543872636E-2</v>
      </c>
      <c r="X9" s="91">
        <f t="shared" ref="X9:X61" si="14">I9-J9*$Q$13</f>
        <v>16.834150070544251</v>
      </c>
      <c r="Y9" s="91">
        <f t="shared" ref="Y9:Y61" si="15">I9+J9*$Q$13</f>
        <v>19.683369929455747</v>
      </c>
    </row>
    <row r="10" spans="1:25" x14ac:dyDescent="0.25">
      <c r="A10" s="57">
        <v>1966</v>
      </c>
      <c r="B10" s="57">
        <v>7</v>
      </c>
      <c r="C10" s="57">
        <v>17.899999999999999</v>
      </c>
      <c r="D10" s="61">
        <f t="shared" si="1"/>
        <v>15.932500000000001</v>
      </c>
      <c r="E10" s="61">
        <f t="shared" si="2"/>
        <v>16.727499999999999</v>
      </c>
      <c r="F10" s="61">
        <f t="shared" si="3"/>
        <v>15.966396621896921</v>
      </c>
      <c r="G10" s="61">
        <f t="shared" si="4"/>
        <v>16.755800000000001</v>
      </c>
      <c r="H10" s="62">
        <f t="shared" si="12"/>
        <v>18.36</v>
      </c>
      <c r="I10" s="62">
        <f t="shared" si="10"/>
        <v>18.271131999999998</v>
      </c>
      <c r="J10" s="62">
        <f t="shared" si="11"/>
        <v>0.59344052709602024</v>
      </c>
      <c r="K10" s="62">
        <f t="shared" si="5"/>
        <v>1.9674999999999976</v>
      </c>
      <c r="L10" s="62">
        <f t="shared" si="6"/>
        <v>1.1724999999999994</v>
      </c>
      <c r="M10" s="62">
        <f t="shared" si="7"/>
        <v>1.9336033781030775</v>
      </c>
      <c r="N10" s="62">
        <f t="shared" si="8"/>
        <v>1.1441999999999979</v>
      </c>
      <c r="O10" s="62">
        <f t="shared" si="13"/>
        <v>-0.46000000000000085</v>
      </c>
      <c r="P10" s="62">
        <f t="shared" si="9"/>
        <v>-0.37113199999999935</v>
      </c>
      <c r="Q10" s="74" t="s">
        <v>129</v>
      </c>
      <c r="R10" s="75">
        <f>RSQ(D4:D62,$C$4:$C$62)</f>
        <v>0.62146283972883853</v>
      </c>
      <c r="S10" s="75">
        <f>RSQ(E4:E62,$C$4:$C$62)</f>
        <v>0.78322856268055208</v>
      </c>
      <c r="T10" s="75">
        <f>RSQ(F4:F62,$C$4:$C$62)</f>
        <v>0.741853935878513</v>
      </c>
      <c r="U10" s="77">
        <f>RSQ(G4:G62,$C$4:$C$62)</f>
        <v>0.50363492834514001</v>
      </c>
      <c r="V10" s="75">
        <f>RSQ(H9:H62,$C$9:$C$62)</f>
        <v>0.81338039771218573</v>
      </c>
      <c r="W10" s="124">
        <f>RSQ(I5:I62,$C$5:$C$62)</f>
        <v>0.85871037935655925</v>
      </c>
      <c r="X10" s="91">
        <f t="shared" si="14"/>
        <v>17.082327771906705</v>
      </c>
      <c r="Y10" s="91">
        <f t="shared" si="15"/>
        <v>19.459936228093291</v>
      </c>
    </row>
    <row r="11" spans="1:25" x14ac:dyDescent="0.25">
      <c r="A11" s="57">
        <v>1967</v>
      </c>
      <c r="B11" s="57">
        <v>8</v>
      </c>
      <c r="C11" s="57">
        <v>17.5</v>
      </c>
      <c r="D11" s="61">
        <f t="shared" si="1"/>
        <v>15.833000000000002</v>
      </c>
      <c r="E11" s="61">
        <f t="shared" si="2"/>
        <v>16.477399999999999</v>
      </c>
      <c r="F11" s="61">
        <f t="shared" si="3"/>
        <v>15.666502665372661</v>
      </c>
      <c r="G11" s="61">
        <f t="shared" si="4"/>
        <v>16.3888</v>
      </c>
      <c r="H11" s="62">
        <f t="shared" si="12"/>
        <v>18.359999999999996</v>
      </c>
      <c r="I11" s="62">
        <f t="shared" si="10"/>
        <v>18.159792399999997</v>
      </c>
      <c r="J11" s="62">
        <f t="shared" si="11"/>
        <v>0.49574117542120844</v>
      </c>
      <c r="K11" s="62">
        <f t="shared" si="5"/>
        <v>1.666999999999998</v>
      </c>
      <c r="L11" s="62">
        <f t="shared" si="6"/>
        <v>1.0226000000000006</v>
      </c>
      <c r="M11" s="62">
        <f t="shared" si="7"/>
        <v>1.8334973346273387</v>
      </c>
      <c r="N11" s="62">
        <f t="shared" si="8"/>
        <v>1.1112000000000002</v>
      </c>
      <c r="O11" s="62">
        <f t="shared" si="13"/>
        <v>-0.85999999999999588</v>
      </c>
      <c r="P11" s="62">
        <f t="shared" si="9"/>
        <v>-0.65979239999999706</v>
      </c>
      <c r="Q11" s="88">
        <v>0.05</v>
      </c>
      <c r="R11" s="68" t="s">
        <v>6</v>
      </c>
      <c r="X11" s="91">
        <f t="shared" si="14"/>
        <v>17.166703491386727</v>
      </c>
      <c r="Y11" s="91">
        <f t="shared" si="15"/>
        <v>19.152881308613267</v>
      </c>
    </row>
    <row r="12" spans="1:25" x14ac:dyDescent="0.25">
      <c r="A12" s="57">
        <v>1968</v>
      </c>
      <c r="B12" s="57">
        <v>9</v>
      </c>
      <c r="C12" s="57">
        <v>17.2</v>
      </c>
      <c r="D12" s="61">
        <f t="shared" si="1"/>
        <v>15.733500000000001</v>
      </c>
      <c r="E12" s="61">
        <f t="shared" si="2"/>
        <v>16.233900000000002</v>
      </c>
      <c r="F12" s="61">
        <f t="shared" si="3"/>
        <v>15.406656460957002</v>
      </c>
      <c r="G12" s="61">
        <f t="shared" si="4"/>
        <v>16.045400000000001</v>
      </c>
      <c r="H12" s="62">
        <f t="shared" si="12"/>
        <v>18.2</v>
      </c>
      <c r="I12" s="62">
        <f t="shared" si="10"/>
        <v>17.961854679999995</v>
      </c>
      <c r="J12" s="62">
        <f t="shared" si="11"/>
        <v>0.43770831616566902</v>
      </c>
      <c r="K12" s="62">
        <f t="shared" si="5"/>
        <v>1.4664999999999981</v>
      </c>
      <c r="L12" s="62">
        <f t="shared" si="6"/>
        <v>0.96609999999999729</v>
      </c>
      <c r="M12" s="62">
        <f t="shared" si="7"/>
        <v>1.793343539042997</v>
      </c>
      <c r="N12" s="62">
        <f t="shared" si="8"/>
        <v>1.1545999999999985</v>
      </c>
      <c r="O12" s="62">
        <f t="shared" si="13"/>
        <v>-1</v>
      </c>
      <c r="P12" s="62">
        <f t="shared" si="9"/>
        <v>-0.76185467999999545</v>
      </c>
      <c r="Q12" s="89">
        <f>COUNT(I5:I62)-2</f>
        <v>56</v>
      </c>
      <c r="R12" s="25" t="s">
        <v>5</v>
      </c>
      <c r="W12" s="73" t="s">
        <v>132</v>
      </c>
      <c r="X12" s="91">
        <f t="shared" si="14"/>
        <v>17.085019558078589</v>
      </c>
      <c r="Y12" s="91">
        <f t="shared" si="15"/>
        <v>18.838689801921401</v>
      </c>
    </row>
    <row r="13" spans="1:25" x14ac:dyDescent="0.25">
      <c r="A13" s="57">
        <v>1969</v>
      </c>
      <c r="B13" s="57">
        <v>10</v>
      </c>
      <c r="C13" s="57">
        <v>16.600000000000001</v>
      </c>
      <c r="D13" s="61">
        <f t="shared" si="1"/>
        <v>15.634</v>
      </c>
      <c r="E13" s="61">
        <f t="shared" si="2"/>
        <v>15.997</v>
      </c>
      <c r="F13" s="61">
        <f t="shared" si="3"/>
        <v>15.177870221841671</v>
      </c>
      <c r="G13" s="61">
        <f t="shared" si="4"/>
        <v>15.725000000000001</v>
      </c>
      <c r="H13" s="62">
        <f t="shared" si="12"/>
        <v>17.940000000000001</v>
      </c>
      <c r="I13" s="62">
        <f t="shared" si="10"/>
        <v>17.733298275999996</v>
      </c>
      <c r="J13" s="62">
        <f t="shared" si="11"/>
        <v>0.62007728710746235</v>
      </c>
      <c r="K13" s="62">
        <f t="shared" si="5"/>
        <v>0.96600000000000108</v>
      </c>
      <c r="L13" s="62">
        <f t="shared" si="6"/>
        <v>0.60300000000000153</v>
      </c>
      <c r="M13" s="62">
        <f t="shared" si="7"/>
        <v>1.4221297781583306</v>
      </c>
      <c r="N13" s="62">
        <f t="shared" si="8"/>
        <v>0.875</v>
      </c>
      <c r="O13" s="62">
        <f t="shared" si="13"/>
        <v>-1.3399999999999999</v>
      </c>
      <c r="P13" s="62">
        <f t="shared" si="9"/>
        <v>-1.1332982759999943</v>
      </c>
      <c r="Q13" s="90">
        <f>_xlfn.T.INV.2T(Q11,Q12)</f>
        <v>2.0032407188478727</v>
      </c>
      <c r="R13" s="68" t="s">
        <v>7</v>
      </c>
      <c r="W13" s="73" t="s">
        <v>133</v>
      </c>
      <c r="X13" s="91">
        <f t="shared" si="14"/>
        <v>16.491134205633603</v>
      </c>
      <c r="Y13" s="91">
        <f t="shared" si="15"/>
        <v>18.975462346366388</v>
      </c>
    </row>
    <row r="14" spans="1:25" x14ac:dyDescent="0.25">
      <c r="A14" s="57">
        <v>1970</v>
      </c>
      <c r="B14" s="57">
        <v>11</v>
      </c>
      <c r="C14" s="57">
        <v>16.2</v>
      </c>
      <c r="D14" s="61">
        <f t="shared" si="1"/>
        <v>15.534500000000001</v>
      </c>
      <c r="E14" s="61">
        <f t="shared" si="2"/>
        <v>15.7667</v>
      </c>
      <c r="F14" s="61">
        <f t="shared" si="3"/>
        <v>14.973836053448458</v>
      </c>
      <c r="G14" s="61">
        <f t="shared" si="4"/>
        <v>15.427000000000001</v>
      </c>
      <c r="H14" s="62">
        <f t="shared" si="12"/>
        <v>17.5</v>
      </c>
      <c r="I14" s="62">
        <f t="shared" si="10"/>
        <v>17.393308793199999</v>
      </c>
      <c r="J14" s="62">
        <f t="shared" si="11"/>
        <v>0.87561664879105072</v>
      </c>
      <c r="K14" s="62">
        <f t="shared" si="5"/>
        <v>0.66549999999999798</v>
      </c>
      <c r="L14" s="62">
        <f t="shared" si="6"/>
        <v>0.43329999999999913</v>
      </c>
      <c r="M14" s="62">
        <f t="shared" si="7"/>
        <v>1.2261639465515408</v>
      </c>
      <c r="N14" s="62">
        <f t="shared" si="8"/>
        <v>0.77299999999999791</v>
      </c>
      <c r="O14" s="62">
        <f t="shared" si="13"/>
        <v>-1.3000000000000007</v>
      </c>
      <c r="P14" s="62">
        <f t="shared" si="9"/>
        <v>-1.1933087931999999</v>
      </c>
      <c r="X14" s="91">
        <f t="shared" si="14"/>
        <v>15.639237868240649</v>
      </c>
      <c r="Y14" s="91">
        <f t="shared" si="15"/>
        <v>19.14737971815935</v>
      </c>
    </row>
    <row r="15" spans="1:25" x14ac:dyDescent="0.25">
      <c r="A15" s="57">
        <v>1971</v>
      </c>
      <c r="B15" s="57">
        <v>12</v>
      </c>
      <c r="C15" s="57">
        <v>16.100000000000001</v>
      </c>
      <c r="D15" s="61">
        <f t="shared" si="1"/>
        <v>15.435000000000002</v>
      </c>
      <c r="E15" s="61">
        <f t="shared" si="2"/>
        <v>15.543000000000001</v>
      </c>
      <c r="F15" s="61">
        <f t="shared" si="3"/>
        <v>14.789963361449658</v>
      </c>
      <c r="G15" s="61">
        <f t="shared" si="4"/>
        <v>15.1508</v>
      </c>
      <c r="H15" s="62">
        <f t="shared" si="12"/>
        <v>17.079999999999998</v>
      </c>
      <c r="I15" s="62">
        <f t="shared" si="10"/>
        <v>17.035316155239997</v>
      </c>
      <c r="J15" s="62">
        <f t="shared" si="11"/>
        <v>1.0470233062912042</v>
      </c>
      <c r="K15" s="62">
        <f t="shared" si="5"/>
        <v>0.66499999999999915</v>
      </c>
      <c r="L15" s="62">
        <f t="shared" si="6"/>
        <v>0.55700000000000038</v>
      </c>
      <c r="M15" s="62">
        <f t="shared" si="7"/>
        <v>1.3100366385503435</v>
      </c>
      <c r="N15" s="62">
        <f t="shared" si="8"/>
        <v>0.94920000000000115</v>
      </c>
      <c r="O15" s="62">
        <f t="shared" si="13"/>
        <v>-0.97999999999999687</v>
      </c>
      <c r="P15" s="62">
        <f t="shared" si="9"/>
        <v>-0.93531615523999534</v>
      </c>
      <c r="X15" s="91">
        <f t="shared" si="14"/>
        <v>14.937876434494729</v>
      </c>
      <c r="Y15" s="91">
        <f t="shared" si="15"/>
        <v>19.132755875985264</v>
      </c>
    </row>
    <row r="16" spans="1:25" x14ac:dyDescent="0.25">
      <c r="A16" s="57">
        <v>1972</v>
      </c>
      <c r="B16" s="57">
        <v>13</v>
      </c>
      <c r="C16" s="57">
        <v>14.9</v>
      </c>
      <c r="D16" s="61">
        <f t="shared" si="1"/>
        <v>15.335500000000001</v>
      </c>
      <c r="E16" s="61">
        <f t="shared" si="2"/>
        <v>15.325900000000001</v>
      </c>
      <c r="F16" s="61">
        <f t="shared" si="3"/>
        <v>14.622811413484275</v>
      </c>
      <c r="G16" s="61">
        <f t="shared" si="4"/>
        <v>14.895800000000001</v>
      </c>
      <c r="H16" s="62">
        <f t="shared" si="12"/>
        <v>16.72</v>
      </c>
      <c r="I16" s="62">
        <f t="shared" si="10"/>
        <v>16.754721308667996</v>
      </c>
      <c r="J16" s="62">
        <f t="shared" si="11"/>
        <v>1.0928810805337614</v>
      </c>
      <c r="K16" s="62">
        <f t="shared" si="5"/>
        <v>-0.43550000000000111</v>
      </c>
      <c r="L16" s="62">
        <f t="shared" si="6"/>
        <v>-0.42590000000000039</v>
      </c>
      <c r="M16" s="62">
        <f t="shared" si="7"/>
        <v>0.27718858651572553</v>
      </c>
      <c r="N16" s="62">
        <f t="shared" si="8"/>
        <v>4.1999999999990933E-3</v>
      </c>
      <c r="O16" s="62">
        <f t="shared" si="13"/>
        <v>-1.8199999999999985</v>
      </c>
      <c r="P16" s="62">
        <f t="shared" si="9"/>
        <v>-1.8547213086679957</v>
      </c>
      <c r="X16" s="91">
        <f t="shared" si="14"/>
        <v>14.565417427284304</v>
      </c>
      <c r="Y16" s="91">
        <f t="shared" si="15"/>
        <v>18.94402519005169</v>
      </c>
    </row>
    <row r="17" spans="1:25" x14ac:dyDescent="0.25">
      <c r="A17" s="57">
        <v>1973</v>
      </c>
      <c r="B17" s="57">
        <v>14</v>
      </c>
      <c r="C17" s="57">
        <v>13.9</v>
      </c>
      <c r="D17" s="61">
        <f t="shared" si="1"/>
        <v>15.236000000000001</v>
      </c>
      <c r="E17" s="61">
        <f t="shared" si="2"/>
        <v>15.115400000000001</v>
      </c>
      <c r="F17" s="61">
        <f t="shared" si="3"/>
        <v>14.469737549705323</v>
      </c>
      <c r="G17" s="61">
        <f t="shared" si="4"/>
        <v>14.6614</v>
      </c>
      <c r="H17" s="62">
        <f t="shared" si="12"/>
        <v>16.2</v>
      </c>
      <c r="I17" s="62">
        <f t="shared" si="10"/>
        <v>16.198304916067595</v>
      </c>
      <c r="J17" s="62">
        <f t="shared" si="11"/>
        <v>1.3830875266360272</v>
      </c>
      <c r="K17" s="62">
        <f t="shared" si="5"/>
        <v>-1.3360000000000003</v>
      </c>
      <c r="L17" s="62">
        <f t="shared" si="6"/>
        <v>-1.2154000000000007</v>
      </c>
      <c r="M17" s="62">
        <f t="shared" si="7"/>
        <v>-0.56973754970532298</v>
      </c>
      <c r="N17" s="62">
        <f t="shared" si="8"/>
        <v>-0.76140000000000008</v>
      </c>
      <c r="O17" s="62">
        <f t="shared" si="13"/>
        <v>-2.2999999999999989</v>
      </c>
      <c r="P17" s="62">
        <f t="shared" si="9"/>
        <v>-2.298304916067595</v>
      </c>
      <c r="X17" s="91">
        <f t="shared" si="14"/>
        <v>13.427647664979714</v>
      </c>
      <c r="Y17" s="91">
        <f t="shared" si="15"/>
        <v>18.968962167155478</v>
      </c>
    </row>
    <row r="18" spans="1:25" x14ac:dyDescent="0.25">
      <c r="A18" s="57">
        <v>1974</v>
      </c>
      <c r="B18" s="57">
        <v>15</v>
      </c>
      <c r="C18" s="57">
        <v>13.1</v>
      </c>
      <c r="D18" s="61">
        <f t="shared" si="1"/>
        <v>15.136500000000002</v>
      </c>
      <c r="E18" s="61">
        <f t="shared" si="2"/>
        <v>14.9115</v>
      </c>
      <c r="F18" s="61">
        <f t="shared" si="3"/>
        <v>14.328669855719602</v>
      </c>
      <c r="G18" s="61">
        <f t="shared" si="4"/>
        <v>14.447000000000001</v>
      </c>
      <c r="H18" s="62">
        <f t="shared" si="12"/>
        <v>15.540000000000001</v>
      </c>
      <c r="I18" s="62">
        <f t="shared" si="10"/>
        <v>15.508813441247316</v>
      </c>
      <c r="J18" s="62">
        <f t="shared" si="11"/>
        <v>1.7885760565601272</v>
      </c>
      <c r="K18" s="62">
        <f t="shared" si="5"/>
        <v>-2.036500000000002</v>
      </c>
      <c r="L18" s="62">
        <f t="shared" si="6"/>
        <v>-1.8115000000000006</v>
      </c>
      <c r="M18" s="62">
        <f t="shared" si="7"/>
        <v>-1.2286698557196019</v>
      </c>
      <c r="N18" s="62">
        <f t="shared" si="8"/>
        <v>-1.3470000000000013</v>
      </c>
      <c r="O18" s="62">
        <f t="shared" si="13"/>
        <v>-2.4400000000000013</v>
      </c>
      <c r="P18" s="62">
        <f t="shared" si="9"/>
        <v>-2.4088134412473163</v>
      </c>
      <c r="X18" s="91">
        <f t="shared" si="14"/>
        <v>11.925865055989714</v>
      </c>
      <c r="Y18" s="91">
        <f t="shared" si="15"/>
        <v>19.091761826504918</v>
      </c>
    </row>
    <row r="19" spans="1:25" x14ac:dyDescent="0.25">
      <c r="A19" s="57">
        <v>1975</v>
      </c>
      <c r="B19" s="57">
        <v>16</v>
      </c>
      <c r="C19" s="57">
        <v>12.4</v>
      </c>
      <c r="D19" s="61">
        <f t="shared" si="1"/>
        <v>15.037000000000001</v>
      </c>
      <c r="E19" s="61">
        <f t="shared" si="2"/>
        <v>14.714200000000002</v>
      </c>
      <c r="F19" s="61">
        <f t="shared" si="3"/>
        <v>14.197955071390991</v>
      </c>
      <c r="G19" s="61">
        <f t="shared" si="4"/>
        <v>14.252000000000001</v>
      </c>
      <c r="H19" s="62">
        <f t="shared" si="12"/>
        <v>14.839999999999998</v>
      </c>
      <c r="I19" s="62">
        <f t="shared" si="10"/>
        <v>14.786169408873119</v>
      </c>
      <c r="J19" s="62">
        <f t="shared" si="11"/>
        <v>2.2003468525652448</v>
      </c>
      <c r="K19" s="62">
        <f t="shared" si="5"/>
        <v>-2.6370000000000005</v>
      </c>
      <c r="L19" s="62">
        <f t="shared" si="6"/>
        <v>-2.3142000000000014</v>
      </c>
      <c r="M19" s="62">
        <f t="shared" si="7"/>
        <v>-1.7979550713909909</v>
      </c>
      <c r="N19" s="62">
        <f t="shared" si="8"/>
        <v>-1.8520000000000003</v>
      </c>
      <c r="O19" s="62">
        <f t="shared" si="13"/>
        <v>-2.4399999999999977</v>
      </c>
      <c r="P19" s="62">
        <f t="shared" si="9"/>
        <v>-2.3861694088731191</v>
      </c>
      <c r="X19" s="91">
        <f t="shared" si="14"/>
        <v>10.378344998225664</v>
      </c>
      <c r="Y19" s="91">
        <f t="shared" si="15"/>
        <v>19.193993819520575</v>
      </c>
    </row>
    <row r="20" spans="1:25" x14ac:dyDescent="0.25">
      <c r="A20" s="57">
        <v>1976</v>
      </c>
      <c r="B20" s="57">
        <v>17</v>
      </c>
      <c r="C20" s="57">
        <v>12</v>
      </c>
      <c r="D20" s="61">
        <f t="shared" si="1"/>
        <v>14.937500000000002</v>
      </c>
      <c r="E20" s="61">
        <f t="shared" si="2"/>
        <v>14.5235</v>
      </c>
      <c r="F20" s="61">
        <f t="shared" si="3"/>
        <v>14.07625378444129</v>
      </c>
      <c r="G20" s="61">
        <f t="shared" si="4"/>
        <v>14.075800000000001</v>
      </c>
      <c r="H20" s="62">
        <f t="shared" si="12"/>
        <v>14.080000000000002</v>
      </c>
      <c r="I20" s="62">
        <f t="shared" si="10"/>
        <v>14.070318586211183</v>
      </c>
      <c r="J20" s="62">
        <f t="shared" si="11"/>
        <v>2.3649095916331984</v>
      </c>
      <c r="K20" s="62">
        <f t="shared" si="5"/>
        <v>-2.9375000000000018</v>
      </c>
      <c r="L20" s="62">
        <f t="shared" si="6"/>
        <v>-2.5235000000000003</v>
      </c>
      <c r="M20" s="62">
        <f t="shared" si="7"/>
        <v>-2.0762537844412901</v>
      </c>
      <c r="N20" s="62">
        <f t="shared" si="8"/>
        <v>-2.075800000000001</v>
      </c>
      <c r="O20" s="62">
        <f t="shared" si="13"/>
        <v>-2.0800000000000018</v>
      </c>
      <c r="P20" s="62">
        <f t="shared" si="9"/>
        <v>-2.070318586211183</v>
      </c>
      <c r="X20" s="91">
        <f t="shared" si="14"/>
        <v>9.332835395857666</v>
      </c>
      <c r="Y20" s="91">
        <f t="shared" si="15"/>
        <v>18.807801776564702</v>
      </c>
    </row>
    <row r="21" spans="1:25" x14ac:dyDescent="0.25">
      <c r="A21" s="57">
        <v>1977</v>
      </c>
      <c r="B21" s="57">
        <v>18</v>
      </c>
      <c r="C21" s="57">
        <v>11.7</v>
      </c>
      <c r="D21" s="61">
        <f t="shared" si="1"/>
        <v>14.838000000000001</v>
      </c>
      <c r="E21" s="61">
        <f t="shared" si="2"/>
        <v>14.339400000000001</v>
      </c>
      <c r="F21" s="61">
        <f t="shared" si="3"/>
        <v>13.962466346525844</v>
      </c>
      <c r="G21" s="61">
        <f t="shared" si="4"/>
        <v>13.9178</v>
      </c>
      <c r="H21" s="62">
        <f t="shared" si="12"/>
        <v>13.26</v>
      </c>
      <c r="I21" s="62">
        <f t="shared" si="10"/>
        <v>13.449223010347827</v>
      </c>
      <c r="J21" s="62">
        <f t="shared" si="11"/>
        <v>2.2936438034262645</v>
      </c>
      <c r="K21" s="62">
        <f t="shared" si="5"/>
        <v>-3.1380000000000017</v>
      </c>
      <c r="L21" s="62">
        <f t="shared" si="6"/>
        <v>-2.639400000000002</v>
      </c>
      <c r="M21" s="62">
        <f t="shared" si="7"/>
        <v>-2.2624663465258443</v>
      </c>
      <c r="N21" s="62">
        <f t="shared" si="8"/>
        <v>-2.2178000000000004</v>
      </c>
      <c r="O21" s="62">
        <f t="shared" si="13"/>
        <v>-1.5600000000000005</v>
      </c>
      <c r="P21" s="62">
        <f t="shared" si="9"/>
        <v>-1.7492230103478281</v>
      </c>
      <c r="X21" s="91">
        <f t="shared" si="14"/>
        <v>8.8545023487912289</v>
      </c>
      <c r="Y21" s="91">
        <f t="shared" si="15"/>
        <v>18.043943671904426</v>
      </c>
    </row>
    <row r="22" spans="1:25" x14ac:dyDescent="0.25">
      <c r="A22" s="57">
        <v>1978</v>
      </c>
      <c r="B22" s="57">
        <v>19</v>
      </c>
      <c r="C22" s="57">
        <v>12.2</v>
      </c>
      <c r="D22" s="61">
        <f t="shared" si="1"/>
        <v>14.738500000000002</v>
      </c>
      <c r="E22" s="61">
        <f t="shared" si="2"/>
        <v>14.161900000000001</v>
      </c>
      <c r="F22" s="61">
        <f t="shared" si="3"/>
        <v>13.855679332588341</v>
      </c>
      <c r="G22" s="61">
        <f t="shared" si="4"/>
        <v>13.7774</v>
      </c>
      <c r="H22" s="62">
        <f t="shared" si="12"/>
        <v>12.62</v>
      </c>
      <c r="I22" s="62">
        <f t="shared" si="10"/>
        <v>12.924456107243479</v>
      </c>
      <c r="J22" s="62">
        <f t="shared" si="11"/>
        <v>2.0848504851414549</v>
      </c>
      <c r="K22" s="62">
        <f t="shared" si="5"/>
        <v>-2.5385000000000026</v>
      </c>
      <c r="L22" s="62">
        <f t="shared" si="6"/>
        <v>-1.9619000000000018</v>
      </c>
      <c r="M22" s="62">
        <f t="shared" si="7"/>
        <v>-1.6556793325883419</v>
      </c>
      <c r="N22" s="62">
        <f t="shared" si="8"/>
        <v>-1.5774000000000008</v>
      </c>
      <c r="O22" s="62">
        <f t="shared" si="13"/>
        <v>-0.41999999999999993</v>
      </c>
      <c r="P22" s="62">
        <f t="shared" si="9"/>
        <v>-0.72445610724347986</v>
      </c>
      <c r="X22" s="91">
        <f t="shared" si="14"/>
        <v>8.7479987226983749</v>
      </c>
      <c r="Y22" s="91">
        <f t="shared" si="15"/>
        <v>17.100913491788582</v>
      </c>
    </row>
    <row r="23" spans="1:25" x14ac:dyDescent="0.25">
      <c r="A23" s="57">
        <v>1979</v>
      </c>
      <c r="B23" s="57">
        <v>20</v>
      </c>
      <c r="C23" s="57">
        <v>13.1</v>
      </c>
      <c r="D23" s="61">
        <f t="shared" si="1"/>
        <v>14.639000000000001</v>
      </c>
      <c r="E23" s="61">
        <f t="shared" si="2"/>
        <v>13.991000000000001</v>
      </c>
      <c r="F23" s="61">
        <f t="shared" si="3"/>
        <v>13.755126086016288</v>
      </c>
      <c r="G23" s="61">
        <f t="shared" si="4"/>
        <v>13.654000000000002</v>
      </c>
      <c r="H23" s="62">
        <f t="shared" si="12"/>
        <v>12.280000000000001</v>
      </c>
      <c r="I23" s="62">
        <f t="shared" si="10"/>
        <v>12.707119275070434</v>
      </c>
      <c r="J23" s="62">
        <f t="shared" si="11"/>
        <v>1.619756858262392</v>
      </c>
      <c r="K23" s="62">
        <f t="shared" si="5"/>
        <v>-1.5390000000000015</v>
      </c>
      <c r="L23" s="62">
        <f t="shared" si="6"/>
        <v>-0.89100000000000179</v>
      </c>
      <c r="M23" s="62">
        <f t="shared" si="7"/>
        <v>-0.65512608601628841</v>
      </c>
      <c r="N23" s="62">
        <f t="shared" si="8"/>
        <v>-0.55400000000000205</v>
      </c>
      <c r="O23" s="62">
        <f t="shared" si="13"/>
        <v>0.81999999999999851</v>
      </c>
      <c r="P23" s="62">
        <f t="shared" si="9"/>
        <v>0.39288072492956516</v>
      </c>
      <c r="X23" s="91">
        <f t="shared" si="14"/>
        <v>9.4623563819661083</v>
      </c>
      <c r="Y23" s="91">
        <f t="shared" si="15"/>
        <v>15.951882168174761</v>
      </c>
    </row>
    <row r="24" spans="1:25" x14ac:dyDescent="0.25">
      <c r="A24" s="57">
        <v>1980</v>
      </c>
      <c r="B24" s="57">
        <v>21</v>
      </c>
      <c r="C24" s="57">
        <v>13.4</v>
      </c>
      <c r="D24" s="61">
        <f t="shared" si="1"/>
        <v>14.5395</v>
      </c>
      <c r="E24" s="61">
        <f t="shared" si="2"/>
        <v>13.826700000000001</v>
      </c>
      <c r="F24" s="61">
        <f t="shared" si="3"/>
        <v>13.66015713787538</v>
      </c>
      <c r="G24" s="61">
        <f t="shared" si="4"/>
        <v>13.547000000000001</v>
      </c>
      <c r="H24" s="62">
        <f t="shared" si="12"/>
        <v>12.28</v>
      </c>
      <c r="I24" s="62">
        <f t="shared" si="10"/>
        <v>12.824983492549304</v>
      </c>
      <c r="J24" s="62">
        <f t="shared" si="11"/>
        <v>1.1163889786978187</v>
      </c>
      <c r="K24" s="62">
        <f t="shared" si="5"/>
        <v>-1.1395</v>
      </c>
      <c r="L24" s="62">
        <f t="shared" si="6"/>
        <v>-0.4267000000000003</v>
      </c>
      <c r="M24" s="62">
        <f t="shared" si="7"/>
        <v>-0.26015713787537997</v>
      </c>
      <c r="N24" s="62">
        <f t="shared" si="8"/>
        <v>-0.14700000000000024</v>
      </c>
      <c r="O24" s="62">
        <f t="shared" si="13"/>
        <v>1.120000000000001</v>
      </c>
      <c r="P24" s="62">
        <f t="shared" si="9"/>
        <v>0.57501650745069632</v>
      </c>
      <c r="X24" s="91">
        <f t="shared" si="14"/>
        <v>10.588587632348844</v>
      </c>
      <c r="Y24" s="91">
        <f t="shared" si="15"/>
        <v>15.061379352749764</v>
      </c>
    </row>
    <row r="25" spans="1:25" x14ac:dyDescent="0.25">
      <c r="A25" s="57">
        <v>1981</v>
      </c>
      <c r="B25" s="57">
        <v>22</v>
      </c>
      <c r="C25" s="57">
        <v>13</v>
      </c>
      <c r="D25" s="61">
        <f t="shared" si="1"/>
        <v>14.440000000000001</v>
      </c>
      <c r="E25" s="61">
        <f t="shared" si="2"/>
        <v>13.669</v>
      </c>
      <c r="F25" s="61">
        <f t="shared" si="3"/>
        <v>13.570217685095491</v>
      </c>
      <c r="G25" s="61">
        <f t="shared" si="4"/>
        <v>13.4558</v>
      </c>
      <c r="H25" s="62">
        <f t="shared" si="12"/>
        <v>12.48</v>
      </c>
      <c r="I25" s="62">
        <f t="shared" si="10"/>
        <v>12.997488444784512</v>
      </c>
      <c r="J25" s="62">
        <f t="shared" si="11"/>
        <v>0.58018270087515067</v>
      </c>
      <c r="K25" s="62">
        <f t="shared" si="5"/>
        <v>-1.4400000000000013</v>
      </c>
      <c r="L25" s="62">
        <f t="shared" si="6"/>
        <v>-0.66900000000000048</v>
      </c>
      <c r="M25" s="62">
        <f t="shared" si="7"/>
        <v>-0.57021768509549098</v>
      </c>
      <c r="N25" s="62">
        <f t="shared" si="8"/>
        <v>-0.45579999999999998</v>
      </c>
      <c r="O25" s="62">
        <f t="shared" si="13"/>
        <v>0.51999999999999957</v>
      </c>
      <c r="P25" s="62">
        <f t="shared" si="9"/>
        <v>2.5115552154879595E-3</v>
      </c>
      <c r="X25" s="91">
        <f t="shared" si="14"/>
        <v>11.835242834020274</v>
      </c>
      <c r="Y25" s="91">
        <f t="shared" si="15"/>
        <v>14.15973405554875</v>
      </c>
    </row>
    <row r="26" spans="1:25" x14ac:dyDescent="0.25">
      <c r="A26" s="57">
        <v>1982</v>
      </c>
      <c r="B26" s="57">
        <v>23</v>
      </c>
      <c r="C26" s="57">
        <v>12.8</v>
      </c>
      <c r="D26" s="61">
        <f t="shared" si="1"/>
        <v>14.340500000000002</v>
      </c>
      <c r="E26" s="61">
        <f t="shared" si="2"/>
        <v>13.517900000000001</v>
      </c>
      <c r="F26" s="61">
        <f t="shared" si="3"/>
        <v>13.484830204480577</v>
      </c>
      <c r="G26" s="61">
        <f t="shared" si="4"/>
        <v>13.379799999999999</v>
      </c>
      <c r="H26" s="62">
        <f t="shared" si="12"/>
        <v>12.68</v>
      </c>
      <c r="I26" s="62">
        <f t="shared" si="10"/>
        <v>12.998241911349158</v>
      </c>
      <c r="J26" s="62">
        <f t="shared" si="11"/>
        <v>0.40208023899531037</v>
      </c>
      <c r="K26" s="62">
        <f t="shared" si="5"/>
        <v>-1.5405000000000015</v>
      </c>
      <c r="L26" s="62">
        <f t="shared" si="6"/>
        <v>-0.7179000000000002</v>
      </c>
      <c r="M26" s="62">
        <f t="shared" si="7"/>
        <v>-0.6848302044805763</v>
      </c>
      <c r="N26" s="62">
        <f t="shared" si="8"/>
        <v>-0.57979999999999876</v>
      </c>
      <c r="O26" s="62">
        <f t="shared" si="13"/>
        <v>0.12000000000000099</v>
      </c>
      <c r="P26" s="62">
        <f t="shared" si="9"/>
        <v>-0.19824191134915736</v>
      </c>
      <c r="X26" s="91">
        <f t="shared" si="14"/>
        <v>12.192778404349667</v>
      </c>
      <c r="Y26" s="91">
        <f t="shared" si="15"/>
        <v>13.803705418348649</v>
      </c>
    </row>
    <row r="27" spans="1:25" x14ac:dyDescent="0.25">
      <c r="A27" s="57">
        <v>1983</v>
      </c>
      <c r="B27" s="57">
        <v>24</v>
      </c>
      <c r="C27" s="57">
        <v>12.8</v>
      </c>
      <c r="D27" s="61">
        <f t="shared" si="1"/>
        <v>14.241000000000001</v>
      </c>
      <c r="E27" s="61">
        <f t="shared" si="2"/>
        <v>13.3734</v>
      </c>
      <c r="F27" s="61">
        <f t="shared" si="3"/>
        <v>13.403580862850225</v>
      </c>
      <c r="G27" s="61">
        <f t="shared" si="4"/>
        <v>13.318399999999999</v>
      </c>
      <c r="H27" s="62">
        <f t="shared" si="12"/>
        <v>12.9</v>
      </c>
      <c r="I27" s="62">
        <f t="shared" si="10"/>
        <v>12.938769337944409</v>
      </c>
      <c r="J27" s="62">
        <f t="shared" si="11"/>
        <v>0.35116479852331645</v>
      </c>
      <c r="K27" s="62">
        <f t="shared" si="5"/>
        <v>-1.4410000000000007</v>
      </c>
      <c r="L27" s="62">
        <f t="shared" si="6"/>
        <v>-0.57339999999999947</v>
      </c>
      <c r="M27" s="62">
        <f t="shared" si="7"/>
        <v>-0.60358086285022416</v>
      </c>
      <c r="N27" s="62">
        <f t="shared" si="8"/>
        <v>-0.51839999999999797</v>
      </c>
      <c r="O27" s="62">
        <f t="shared" si="13"/>
        <v>-9.9999999999999645E-2</v>
      </c>
      <c r="P27" s="62">
        <f t="shared" si="9"/>
        <v>-0.13876933794440838</v>
      </c>
      <c r="X27" s="91">
        <f t="shared" si="14"/>
        <v>12.235301714516492</v>
      </c>
      <c r="Y27" s="91">
        <f t="shared" si="15"/>
        <v>13.642236961372326</v>
      </c>
    </row>
    <row r="28" spans="1:25" x14ac:dyDescent="0.25">
      <c r="A28" s="57">
        <v>1984</v>
      </c>
      <c r="B28" s="57">
        <v>25</v>
      </c>
      <c r="C28" s="57">
        <v>12.9</v>
      </c>
      <c r="D28" s="61">
        <f t="shared" si="1"/>
        <v>14.141500000000001</v>
      </c>
      <c r="E28" s="61">
        <f t="shared" si="2"/>
        <v>13.235500000000002</v>
      </c>
      <c r="F28" s="61">
        <f t="shared" si="3"/>
        <v>13.326108773470665</v>
      </c>
      <c r="G28" s="61">
        <f t="shared" si="4"/>
        <v>13.271000000000001</v>
      </c>
      <c r="H28" s="62">
        <f t="shared" si="12"/>
        <v>13.02</v>
      </c>
      <c r="I28" s="62">
        <f t="shared" si="10"/>
        <v>12.897138536561085</v>
      </c>
      <c r="J28" s="62">
        <f t="shared" si="11"/>
        <v>0.13971768258229048</v>
      </c>
      <c r="K28" s="62">
        <f t="shared" si="5"/>
        <v>-1.2415000000000003</v>
      </c>
      <c r="L28" s="62">
        <f t="shared" si="6"/>
        <v>-0.33550000000000146</v>
      </c>
      <c r="M28" s="62">
        <f t="shared" si="7"/>
        <v>-0.42610877347066456</v>
      </c>
      <c r="N28" s="62">
        <f t="shared" si="8"/>
        <v>-0.37100000000000044</v>
      </c>
      <c r="O28" s="62">
        <f t="shared" si="13"/>
        <v>-0.11999999999999922</v>
      </c>
      <c r="P28" s="62">
        <f t="shared" si="9"/>
        <v>2.861463438915024E-3</v>
      </c>
      <c r="X28" s="91">
        <f t="shared" si="14"/>
        <v>12.617250385669179</v>
      </c>
      <c r="Y28" s="91">
        <f t="shared" si="15"/>
        <v>13.177026687452992</v>
      </c>
    </row>
    <row r="29" spans="1:25" x14ac:dyDescent="0.25">
      <c r="A29" s="57">
        <v>1985</v>
      </c>
      <c r="B29" s="57">
        <v>26</v>
      </c>
      <c r="C29" s="57">
        <v>13.3</v>
      </c>
      <c r="D29" s="61">
        <f t="shared" si="1"/>
        <v>14.042000000000002</v>
      </c>
      <c r="E29" s="61">
        <f t="shared" si="2"/>
        <v>13.104200000000001</v>
      </c>
      <c r="F29" s="61">
        <f t="shared" si="3"/>
        <v>13.252097414501957</v>
      </c>
      <c r="G29" s="61">
        <f t="shared" si="4"/>
        <v>13.237</v>
      </c>
      <c r="H29" s="62">
        <f t="shared" si="12"/>
        <v>12.98</v>
      </c>
      <c r="I29" s="62">
        <f t="shared" si="10"/>
        <v>12.897996975592758</v>
      </c>
      <c r="J29" s="62">
        <f t="shared" si="11"/>
        <v>0.13971992525752944</v>
      </c>
      <c r="K29" s="62">
        <f t="shared" si="5"/>
        <v>-0.74200000000000088</v>
      </c>
      <c r="L29" s="62">
        <f t="shared" si="6"/>
        <v>0.1958000000000002</v>
      </c>
      <c r="M29" s="62">
        <f t="shared" si="7"/>
        <v>4.7902585498043493E-2</v>
      </c>
      <c r="N29" s="62">
        <f t="shared" si="8"/>
        <v>6.3000000000000611E-2</v>
      </c>
      <c r="O29" s="62">
        <f t="shared" si="13"/>
        <v>0.32000000000000028</v>
      </c>
      <c r="P29" s="62">
        <f t="shared" si="9"/>
        <v>0.402003024407243</v>
      </c>
      <c r="X29" s="91">
        <f t="shared" si="14"/>
        <v>12.618104332082494</v>
      </c>
      <c r="Y29" s="91">
        <f t="shared" si="15"/>
        <v>13.177889619103022</v>
      </c>
    </row>
    <row r="30" spans="1:25" x14ac:dyDescent="0.25">
      <c r="A30" s="57">
        <v>1986</v>
      </c>
      <c r="B30" s="57">
        <v>27</v>
      </c>
      <c r="C30" s="57">
        <v>13.3</v>
      </c>
      <c r="D30" s="61">
        <f t="shared" si="1"/>
        <v>13.942500000000001</v>
      </c>
      <c r="E30" s="61">
        <f t="shared" si="2"/>
        <v>12.9795</v>
      </c>
      <c r="F30" s="61">
        <f t="shared" si="3"/>
        <v>13.181267709290553</v>
      </c>
      <c r="G30" s="61">
        <f t="shared" si="4"/>
        <v>13.215800000000002</v>
      </c>
      <c r="H30" s="62">
        <f t="shared" si="12"/>
        <v>12.959999999999999</v>
      </c>
      <c r="I30" s="62">
        <f t="shared" si="10"/>
        <v>13.01859788291493</v>
      </c>
      <c r="J30" s="62">
        <f t="shared" si="11"/>
        <v>0.24554127199523373</v>
      </c>
      <c r="K30" s="62">
        <f t="shared" si="5"/>
        <v>-0.64250000000000007</v>
      </c>
      <c r="L30" s="62">
        <f t="shared" si="6"/>
        <v>0.3205000000000009</v>
      </c>
      <c r="M30" s="62">
        <f t="shared" si="7"/>
        <v>0.11873229070944724</v>
      </c>
      <c r="N30" s="62">
        <f t="shared" si="8"/>
        <v>8.4199999999999164E-2</v>
      </c>
      <c r="O30" s="62">
        <f t="shared" si="13"/>
        <v>0.34000000000000163</v>
      </c>
      <c r="P30" s="62">
        <f t="shared" si="9"/>
        <v>0.28140211708507046</v>
      </c>
      <c r="X30" s="91">
        <f t="shared" si="14"/>
        <v>12.526719608696377</v>
      </c>
      <c r="Y30" s="91">
        <f t="shared" si="15"/>
        <v>13.510476157133484</v>
      </c>
    </row>
    <row r="31" spans="1:25" x14ac:dyDescent="0.25">
      <c r="A31" s="57">
        <v>1987</v>
      </c>
      <c r="B31" s="57">
        <v>28</v>
      </c>
      <c r="C31" s="57">
        <v>13.7</v>
      </c>
      <c r="D31" s="61">
        <f t="shared" si="1"/>
        <v>13.843000000000002</v>
      </c>
      <c r="E31" s="61">
        <f t="shared" si="2"/>
        <v>12.8614</v>
      </c>
      <c r="F31" s="61">
        <f t="shared" si="3"/>
        <v>13.113372398015576</v>
      </c>
      <c r="G31" s="61">
        <f t="shared" si="4"/>
        <v>13.206800000000001</v>
      </c>
      <c r="H31" s="62">
        <f t="shared" si="12"/>
        <v>13.02</v>
      </c>
      <c r="I31" s="62">
        <f t="shared" si="10"/>
        <v>13.10301851804045</v>
      </c>
      <c r="J31" s="62">
        <f t="shared" si="11"/>
        <v>0.28331476670865707</v>
      </c>
      <c r="K31" s="62">
        <f t="shared" si="5"/>
        <v>-0.14300000000000246</v>
      </c>
      <c r="L31" s="62">
        <f t="shared" si="6"/>
        <v>0.83859999999999957</v>
      </c>
      <c r="M31" s="62">
        <f t="shared" si="7"/>
        <v>0.58662760198442321</v>
      </c>
      <c r="N31" s="62">
        <f t="shared" si="8"/>
        <v>0.49319999999999808</v>
      </c>
      <c r="O31" s="62">
        <f t="shared" si="13"/>
        <v>0.67999999999999972</v>
      </c>
      <c r="P31" s="62">
        <f t="shared" si="9"/>
        <v>0.59698148195954914</v>
      </c>
      <c r="X31" s="91">
        <f t="shared" si="14"/>
        <v>12.535470841118782</v>
      </c>
      <c r="Y31" s="91">
        <f t="shared" si="15"/>
        <v>13.670566194962118</v>
      </c>
    </row>
    <row r="32" spans="1:25" x14ac:dyDescent="0.25">
      <c r="A32" s="57">
        <v>1988</v>
      </c>
      <c r="B32" s="57">
        <v>29</v>
      </c>
      <c r="C32" s="57">
        <v>13.8</v>
      </c>
      <c r="D32" s="61">
        <f t="shared" si="1"/>
        <v>13.743500000000001</v>
      </c>
      <c r="E32" s="61">
        <f t="shared" si="2"/>
        <v>12.7499</v>
      </c>
      <c r="F32" s="61">
        <f t="shared" si="3"/>
        <v>13.048191422886667</v>
      </c>
      <c r="G32" s="61">
        <f t="shared" si="4"/>
        <v>13.2094</v>
      </c>
      <c r="H32" s="62">
        <f t="shared" si="12"/>
        <v>13.2</v>
      </c>
      <c r="I32" s="62">
        <f t="shared" si="10"/>
        <v>13.282112962628315</v>
      </c>
      <c r="J32" s="62">
        <f t="shared" si="11"/>
        <v>0.44616158243964699</v>
      </c>
      <c r="K32" s="62">
        <f t="shared" si="5"/>
        <v>5.6499999999999773E-2</v>
      </c>
      <c r="L32" s="62">
        <f t="shared" si="6"/>
        <v>1.0501000000000005</v>
      </c>
      <c r="M32" s="62">
        <f t="shared" si="7"/>
        <v>0.7518085771133336</v>
      </c>
      <c r="N32" s="62">
        <f t="shared" si="8"/>
        <v>0.59060000000000024</v>
      </c>
      <c r="O32" s="62">
        <f t="shared" si="13"/>
        <v>0.60000000000000142</v>
      </c>
      <c r="P32" s="62">
        <f t="shared" si="9"/>
        <v>0.51788703737168618</v>
      </c>
      <c r="X32" s="91">
        <f t="shared" si="14"/>
        <v>12.388343913499611</v>
      </c>
      <c r="Y32" s="91">
        <f t="shared" si="15"/>
        <v>14.175882011757018</v>
      </c>
    </row>
    <row r="33" spans="1:25" x14ac:dyDescent="0.25">
      <c r="A33" s="57">
        <v>1989</v>
      </c>
      <c r="B33" s="57">
        <v>30</v>
      </c>
      <c r="C33" s="57">
        <v>13.6</v>
      </c>
      <c r="D33" s="61">
        <f t="shared" si="1"/>
        <v>13.644000000000002</v>
      </c>
      <c r="E33" s="61">
        <f t="shared" si="2"/>
        <v>12.645000000000001</v>
      </c>
      <c r="F33" s="61">
        <f t="shared" si="3"/>
        <v>12.985528116237173</v>
      </c>
      <c r="G33" s="61">
        <f t="shared" si="4"/>
        <v>13.223000000000003</v>
      </c>
      <c r="H33" s="62">
        <f t="shared" si="12"/>
        <v>13.4</v>
      </c>
      <c r="I33" s="62">
        <f t="shared" si="10"/>
        <v>13.437479073839818</v>
      </c>
      <c r="J33" s="62">
        <f t="shared" si="11"/>
        <v>0.48434871211425123</v>
      </c>
      <c r="K33" s="62">
        <f t="shared" si="5"/>
        <v>-4.400000000000226E-2</v>
      </c>
      <c r="L33" s="62">
        <f t="shared" si="6"/>
        <v>0.95499999999999829</v>
      </c>
      <c r="M33" s="62">
        <f t="shared" si="7"/>
        <v>0.61447188376282647</v>
      </c>
      <c r="N33" s="62">
        <f t="shared" si="8"/>
        <v>0.37699999999999712</v>
      </c>
      <c r="O33" s="62">
        <f t="shared" si="13"/>
        <v>0.19999999999999929</v>
      </c>
      <c r="P33" s="62">
        <f t="shared" si="9"/>
        <v>0.1625209261601821</v>
      </c>
      <c r="X33" s="91">
        <f t="shared" si="14"/>
        <v>12.467212011611023</v>
      </c>
      <c r="Y33" s="91">
        <f t="shared" si="15"/>
        <v>14.407746136068612</v>
      </c>
    </row>
    <row r="34" spans="1:25" x14ac:dyDescent="0.25">
      <c r="A34" s="57">
        <v>1990</v>
      </c>
      <c r="B34" s="57">
        <v>31</v>
      </c>
      <c r="C34" s="57">
        <v>13.9</v>
      </c>
      <c r="D34" s="61">
        <f t="shared" si="1"/>
        <v>13.544500000000001</v>
      </c>
      <c r="E34" s="61">
        <f t="shared" si="2"/>
        <v>12.546700000000001</v>
      </c>
      <c r="F34" s="61">
        <f t="shared" si="3"/>
        <v>12.925206030104997</v>
      </c>
      <c r="G34" s="61">
        <f t="shared" si="4"/>
        <v>13.246999999999998</v>
      </c>
      <c r="H34" s="62">
        <f t="shared" si="12"/>
        <v>13.539999999999997</v>
      </c>
      <c r="I34" s="62">
        <f t="shared" si="10"/>
        <v>13.486235351687872</v>
      </c>
      <c r="J34" s="62">
        <f t="shared" si="11"/>
        <v>0.46583506548999548</v>
      </c>
      <c r="K34" s="62">
        <f t="shared" si="5"/>
        <v>0.35549999999999926</v>
      </c>
      <c r="L34" s="62">
        <f t="shared" si="6"/>
        <v>1.3532999999999991</v>
      </c>
      <c r="M34" s="62">
        <f t="shared" si="7"/>
        <v>0.97479396989500344</v>
      </c>
      <c r="N34" s="62">
        <f t="shared" si="8"/>
        <v>0.65300000000000225</v>
      </c>
      <c r="O34" s="62">
        <f t="shared" si="13"/>
        <v>0.36000000000000298</v>
      </c>
      <c r="P34" s="62">
        <f t="shared" si="9"/>
        <v>0.413764648312128</v>
      </c>
      <c r="X34" s="91">
        <f t="shared" si="14"/>
        <v>12.553055580231147</v>
      </c>
      <c r="Y34" s="91">
        <f t="shared" si="15"/>
        <v>14.419415123144598</v>
      </c>
    </row>
    <row r="35" spans="1:25" x14ac:dyDescent="0.25">
      <c r="A35" s="57">
        <v>1991</v>
      </c>
      <c r="B35" s="57">
        <v>32</v>
      </c>
      <c r="C35" s="57">
        <v>13.8</v>
      </c>
      <c r="D35" s="61">
        <f t="shared" si="1"/>
        <v>13.445</v>
      </c>
      <c r="E35" s="61">
        <f t="shared" si="2"/>
        <v>12.455000000000002</v>
      </c>
      <c r="F35" s="61">
        <f t="shared" si="3"/>
        <v>12.867066282431329</v>
      </c>
      <c r="G35" s="61">
        <f t="shared" si="4"/>
        <v>13.280800000000001</v>
      </c>
      <c r="H35" s="62">
        <f t="shared" si="12"/>
        <v>13.66</v>
      </c>
      <c r="I35" s="62">
        <f t="shared" si="10"/>
        <v>13.61036474618151</v>
      </c>
      <c r="J35" s="62">
        <f t="shared" si="11"/>
        <v>0.39404789011423669</v>
      </c>
      <c r="K35" s="62">
        <f t="shared" si="5"/>
        <v>0.35500000000000043</v>
      </c>
      <c r="L35" s="62">
        <f t="shared" si="6"/>
        <v>1.3449999999999989</v>
      </c>
      <c r="M35" s="62">
        <f t="shared" si="7"/>
        <v>0.93293371756867138</v>
      </c>
      <c r="N35" s="62">
        <f t="shared" si="8"/>
        <v>0.51919999999999966</v>
      </c>
      <c r="O35" s="62">
        <f t="shared" si="13"/>
        <v>0.14000000000000057</v>
      </c>
      <c r="P35" s="62">
        <f t="shared" si="9"/>
        <v>0.18963525381849067</v>
      </c>
      <c r="X35" s="91">
        <f t="shared" si="14"/>
        <v>12.820991967528579</v>
      </c>
      <c r="Y35" s="91">
        <f t="shared" si="15"/>
        <v>14.399737524834441</v>
      </c>
    </row>
    <row r="36" spans="1:25" x14ac:dyDescent="0.25">
      <c r="A36" s="57">
        <v>1992</v>
      </c>
      <c r="B36" s="57">
        <v>33</v>
      </c>
      <c r="C36" s="57">
        <v>13.6</v>
      </c>
      <c r="D36" s="61">
        <f t="shared" si="1"/>
        <v>13.345500000000001</v>
      </c>
      <c r="E36" s="61">
        <f t="shared" si="2"/>
        <v>12.369900000000001</v>
      </c>
      <c r="F36" s="61">
        <f t="shared" si="3"/>
        <v>12.810965322405245</v>
      </c>
      <c r="G36" s="61">
        <f t="shared" si="4"/>
        <v>13.323800000000002</v>
      </c>
      <c r="H36" s="62">
        <f t="shared" si="12"/>
        <v>13.76</v>
      </c>
      <c r="I36" s="62">
        <f t="shared" si="10"/>
        <v>13.667255322327055</v>
      </c>
      <c r="J36" s="62">
        <f t="shared" si="11"/>
        <v>0.27903151860415681</v>
      </c>
      <c r="K36" s="62">
        <f t="shared" si="5"/>
        <v>0.25449999999999839</v>
      </c>
      <c r="L36" s="62">
        <f t="shared" si="6"/>
        <v>1.2300999999999984</v>
      </c>
      <c r="M36" s="62">
        <f t="shared" si="7"/>
        <v>0.78903467759475454</v>
      </c>
      <c r="N36" s="62">
        <f t="shared" si="8"/>
        <v>0.27619999999999756</v>
      </c>
      <c r="O36" s="62">
        <f t="shared" si="13"/>
        <v>-0.16000000000000014</v>
      </c>
      <c r="P36" s="62">
        <f t="shared" si="9"/>
        <v>-6.7255322327055111E-2</v>
      </c>
      <c r="X36" s="91">
        <f t="shared" si="14"/>
        <v>13.10828802241725</v>
      </c>
      <c r="Y36" s="91">
        <f t="shared" si="15"/>
        <v>14.226222622236859</v>
      </c>
    </row>
    <row r="37" spans="1:25" x14ac:dyDescent="0.25">
      <c r="A37" s="57">
        <v>1993</v>
      </c>
      <c r="B37" s="57">
        <v>34</v>
      </c>
      <c r="C37" s="57">
        <v>13.2</v>
      </c>
      <c r="D37" s="61">
        <f t="shared" si="1"/>
        <v>13.246000000000002</v>
      </c>
      <c r="E37" s="61">
        <f t="shared" si="2"/>
        <v>12.291400000000001</v>
      </c>
      <c r="F37" s="61">
        <f t="shared" si="3"/>
        <v>12.756773038230664</v>
      </c>
      <c r="G37" s="61">
        <f t="shared" si="4"/>
        <v>13.375400000000001</v>
      </c>
      <c r="H37" s="62">
        <f t="shared" si="12"/>
        <v>13.739999999999998</v>
      </c>
      <c r="I37" s="62">
        <f t="shared" si="10"/>
        <v>13.647078725628937</v>
      </c>
      <c r="J37" s="62">
        <f t="shared" si="11"/>
        <v>0.2656350830650816</v>
      </c>
      <c r="K37" s="62">
        <f t="shared" si="5"/>
        <v>-4.6000000000002927E-2</v>
      </c>
      <c r="L37" s="62">
        <f t="shared" si="6"/>
        <v>0.90859999999999808</v>
      </c>
      <c r="M37" s="62">
        <f t="shared" si="7"/>
        <v>0.4432269617693354</v>
      </c>
      <c r="N37" s="62">
        <f t="shared" si="8"/>
        <v>-0.17540000000000155</v>
      </c>
      <c r="O37" s="62">
        <f t="shared" si="13"/>
        <v>-0.53999999999999915</v>
      </c>
      <c r="P37" s="62">
        <f t="shared" si="9"/>
        <v>-0.44707872562893769</v>
      </c>
      <c r="X37" s="91">
        <f t="shared" si="14"/>
        <v>13.114947710878429</v>
      </c>
      <c r="Y37" s="91">
        <f t="shared" si="15"/>
        <v>14.179209740379445</v>
      </c>
    </row>
    <row r="38" spans="1:25" x14ac:dyDescent="0.25">
      <c r="A38" s="57">
        <v>1994</v>
      </c>
      <c r="B38" s="57">
        <v>35</v>
      </c>
      <c r="C38" s="57">
        <v>13</v>
      </c>
      <c r="D38" s="61">
        <f t="shared" si="1"/>
        <v>13.146500000000001</v>
      </c>
      <c r="E38" s="61">
        <f t="shared" si="2"/>
        <v>12.2195</v>
      </c>
      <c r="F38" s="61">
        <f t="shared" si="3"/>
        <v>12.704371146451191</v>
      </c>
      <c r="G38" s="61">
        <f t="shared" si="4"/>
        <v>13.434999999999999</v>
      </c>
      <c r="H38" s="62">
        <f t="shared" si="12"/>
        <v>13.62</v>
      </c>
      <c r="I38" s="62">
        <f t="shared" ref="I38:I63" si="16">0.3*C37+0.7*I37</f>
        <v>13.512955107940254</v>
      </c>
      <c r="J38" s="62">
        <f t="shared" si="11"/>
        <v>0.28305723495559126</v>
      </c>
      <c r="K38" s="62">
        <f t="shared" si="5"/>
        <v>-0.14650000000000141</v>
      </c>
      <c r="L38" s="62">
        <f t="shared" si="6"/>
        <v>0.78049999999999997</v>
      </c>
      <c r="M38" s="62">
        <f t="shared" si="7"/>
        <v>0.29562885354880919</v>
      </c>
      <c r="N38" s="62">
        <f t="shared" si="8"/>
        <v>-0.43499999999999872</v>
      </c>
      <c r="O38" s="62">
        <f t="shared" si="13"/>
        <v>-0.61999999999999922</v>
      </c>
      <c r="P38" s="62">
        <f t="shared" si="9"/>
        <v>-0.5129551079402539</v>
      </c>
      <c r="X38" s="91">
        <f t="shared" si="14"/>
        <v>12.945923329112723</v>
      </c>
      <c r="Y38" s="91">
        <f t="shared" si="15"/>
        <v>14.079986886767784</v>
      </c>
    </row>
    <row r="39" spans="1:25" x14ac:dyDescent="0.25">
      <c r="A39" s="57">
        <v>1995</v>
      </c>
      <c r="B39" s="57">
        <v>36</v>
      </c>
      <c r="C39" s="57">
        <v>12.6</v>
      </c>
      <c r="D39" s="61">
        <f t="shared" si="1"/>
        <v>13.047000000000001</v>
      </c>
      <c r="E39" s="61">
        <f t="shared" si="2"/>
        <v>12.154200000000001</v>
      </c>
      <c r="F39" s="61">
        <f t="shared" si="3"/>
        <v>12.653651814194939</v>
      </c>
      <c r="G39" s="61">
        <f t="shared" si="4"/>
        <v>13.501999999999999</v>
      </c>
      <c r="H39" s="62">
        <f t="shared" si="12"/>
        <v>13.5</v>
      </c>
      <c r="I39" s="62">
        <f t="shared" si="16"/>
        <v>13.359068575558178</v>
      </c>
      <c r="J39" s="62">
        <f t="shared" si="11"/>
        <v>0.39476812099142816</v>
      </c>
      <c r="K39" s="62">
        <f t="shared" si="5"/>
        <v>-0.44700000000000095</v>
      </c>
      <c r="L39" s="62">
        <f t="shared" si="6"/>
        <v>0.44579999999999842</v>
      </c>
      <c r="M39" s="62">
        <f t="shared" si="7"/>
        <v>-5.3651814194939362E-2</v>
      </c>
      <c r="N39" s="62">
        <f t="shared" si="8"/>
        <v>-0.90199999999999925</v>
      </c>
      <c r="O39" s="62">
        <f t="shared" si="13"/>
        <v>-0.90000000000000036</v>
      </c>
      <c r="P39" s="62">
        <f t="shared" si="9"/>
        <v>-0.75906857555817808</v>
      </c>
      <c r="X39" s="91">
        <f t="shared" si="14"/>
        <v>12.568253001085084</v>
      </c>
      <c r="Y39" s="91">
        <f t="shared" si="15"/>
        <v>14.149884150031271</v>
      </c>
    </row>
    <row r="40" spans="1:25" x14ac:dyDescent="0.25">
      <c r="A40" s="57">
        <v>1996</v>
      </c>
      <c r="B40" s="57">
        <v>37</v>
      </c>
      <c r="C40" s="57">
        <v>12.6</v>
      </c>
      <c r="D40" s="61">
        <f t="shared" si="1"/>
        <v>12.947500000000002</v>
      </c>
      <c r="E40" s="61">
        <f t="shared" si="2"/>
        <v>12.095500000000001</v>
      </c>
      <c r="F40" s="61">
        <f t="shared" si="3"/>
        <v>12.60451647520482</v>
      </c>
      <c r="G40" s="61">
        <f t="shared" si="4"/>
        <v>13.575800000000001</v>
      </c>
      <c r="H40" s="62">
        <f t="shared" si="12"/>
        <v>13.239999999999998</v>
      </c>
      <c r="I40" s="62">
        <f t="shared" si="16"/>
        <v>13.131348002890723</v>
      </c>
      <c r="J40" s="62">
        <f t="shared" ref="J40:J63" si="17">SQRT(SUMXMY2(C37:C39,I37:I39)/3)</f>
        <v>0.58855399980854595</v>
      </c>
      <c r="K40" s="62">
        <f t="shared" si="5"/>
        <v>-0.34750000000000192</v>
      </c>
      <c r="L40" s="62">
        <f t="shared" si="6"/>
        <v>0.50449999999999839</v>
      </c>
      <c r="M40" s="62">
        <f t="shared" si="7"/>
        <v>-4.5164752048201251E-3</v>
      </c>
      <c r="N40" s="62">
        <f t="shared" si="8"/>
        <v>-0.97580000000000133</v>
      </c>
      <c r="O40" s="62">
        <f t="shared" si="13"/>
        <v>-0.63999999999999879</v>
      </c>
      <c r="P40" s="62">
        <f t="shared" si="9"/>
        <v>-0.53134800289072359</v>
      </c>
      <c r="X40" s="91">
        <f t="shared" si="14"/>
        <v>11.952332665233461</v>
      </c>
      <c r="Y40" s="91">
        <f t="shared" si="15"/>
        <v>14.310363340547985</v>
      </c>
    </row>
    <row r="41" spans="1:25" x14ac:dyDescent="0.25">
      <c r="A41" s="57">
        <v>1997</v>
      </c>
      <c r="B41" s="57">
        <v>38</v>
      </c>
      <c r="C41" s="57">
        <v>12.5</v>
      </c>
      <c r="D41" s="61">
        <f t="shared" si="1"/>
        <v>12.848000000000001</v>
      </c>
      <c r="E41" s="61">
        <f t="shared" si="2"/>
        <v>12.043400000000002</v>
      </c>
      <c r="F41" s="61">
        <f t="shared" si="3"/>
        <v>12.556874807962155</v>
      </c>
      <c r="G41" s="61">
        <f t="shared" si="4"/>
        <v>13.655799999999999</v>
      </c>
      <c r="H41" s="62">
        <f t="shared" ref="H41:H60" si="18">AVERAGE(C36:C40)</f>
        <v>13</v>
      </c>
      <c r="I41" s="62">
        <f t="shared" si="16"/>
        <v>12.971943602023504</v>
      </c>
      <c r="J41" s="62">
        <f t="shared" si="17"/>
        <v>0.61145693370775767</v>
      </c>
      <c r="K41" s="62">
        <f t="shared" si="5"/>
        <v>-0.34800000000000075</v>
      </c>
      <c r="L41" s="62">
        <f t="shared" si="6"/>
        <v>0.45659999999999812</v>
      </c>
      <c r="M41" s="62">
        <f t="shared" si="7"/>
        <v>-5.6874807962154605E-2</v>
      </c>
      <c r="N41" s="62">
        <f t="shared" si="8"/>
        <v>-1.1557999999999993</v>
      </c>
      <c r="O41" s="62">
        <f t="shared" si="13"/>
        <v>-0.5</v>
      </c>
      <c r="P41" s="62">
        <f t="shared" si="9"/>
        <v>-0.47194360202350438</v>
      </c>
      <c r="X41" s="91">
        <f t="shared" si="14"/>
        <v>11.747048174598259</v>
      </c>
      <c r="Y41" s="91">
        <f t="shared" si="15"/>
        <v>14.19683902944875</v>
      </c>
    </row>
    <row r="42" spans="1:25" x14ac:dyDescent="0.25">
      <c r="A42" s="57">
        <v>1998</v>
      </c>
      <c r="B42" s="57">
        <v>39</v>
      </c>
      <c r="C42" s="57">
        <v>12.3</v>
      </c>
      <c r="D42" s="61">
        <f t="shared" si="1"/>
        <v>12.748500000000002</v>
      </c>
      <c r="E42" s="61">
        <f t="shared" si="2"/>
        <v>11.997900000000001</v>
      </c>
      <c r="F42" s="61">
        <f t="shared" si="3"/>
        <v>12.510643850082507</v>
      </c>
      <c r="G42" s="61">
        <f t="shared" si="4"/>
        <v>13.741400000000001</v>
      </c>
      <c r="H42" s="62">
        <f t="shared" si="18"/>
        <v>12.78</v>
      </c>
      <c r="I42" s="62">
        <f t="shared" si="16"/>
        <v>12.830360521416452</v>
      </c>
      <c r="J42" s="62">
        <f t="shared" si="17"/>
        <v>0.60034616849136901</v>
      </c>
      <c r="K42" s="62">
        <f t="shared" si="5"/>
        <v>-0.44850000000000101</v>
      </c>
      <c r="L42" s="62">
        <f t="shared" si="6"/>
        <v>0.30209999999999937</v>
      </c>
      <c r="M42" s="62">
        <f t="shared" si="7"/>
        <v>-0.21064385008250675</v>
      </c>
      <c r="N42" s="62">
        <f t="shared" si="8"/>
        <v>-1.4413999999999998</v>
      </c>
      <c r="O42" s="62">
        <f t="shared" si="13"/>
        <v>-0.47999999999999865</v>
      </c>
      <c r="P42" s="62">
        <f t="shared" si="9"/>
        <v>-0.53036052141645129</v>
      </c>
      <c r="X42" s="91">
        <f t="shared" si="14"/>
        <v>11.627722631290236</v>
      </c>
      <c r="Y42" s="91">
        <f t="shared" si="15"/>
        <v>14.032998411542668</v>
      </c>
    </row>
    <row r="43" spans="1:25" x14ac:dyDescent="0.25">
      <c r="A43" s="57">
        <v>1999</v>
      </c>
      <c r="B43" s="57">
        <v>40</v>
      </c>
      <c r="C43" s="57">
        <v>11.9</v>
      </c>
      <c r="D43" s="61">
        <f t="shared" si="1"/>
        <v>12.649000000000001</v>
      </c>
      <c r="E43" s="61">
        <f t="shared" si="2"/>
        <v>11.959000000000003</v>
      </c>
      <c r="F43" s="61">
        <f t="shared" si="3"/>
        <v>12.465747227824695</v>
      </c>
      <c r="G43" s="61">
        <f t="shared" si="4"/>
        <v>13.832000000000001</v>
      </c>
      <c r="H43" s="62">
        <f t="shared" si="18"/>
        <v>12.6</v>
      </c>
      <c r="I43" s="62">
        <f t="shared" si="16"/>
        <v>12.671252364991515</v>
      </c>
      <c r="J43" s="62">
        <f t="shared" si="17"/>
        <v>0.51197127079033466</v>
      </c>
      <c r="K43" s="62">
        <f t="shared" si="5"/>
        <v>-0.74900000000000055</v>
      </c>
      <c r="L43" s="62">
        <f t="shared" si="6"/>
        <v>-5.9000000000002828E-2</v>
      </c>
      <c r="M43" s="62">
        <f t="shared" si="7"/>
        <v>-0.56574722782469422</v>
      </c>
      <c r="N43" s="62">
        <f t="shared" si="8"/>
        <v>-1.9320000000000004</v>
      </c>
      <c r="O43" s="62">
        <f t="shared" si="13"/>
        <v>-0.69999999999999929</v>
      </c>
      <c r="P43" s="62">
        <f t="shared" si="9"/>
        <v>-0.77125236499151484</v>
      </c>
      <c r="X43" s="91">
        <f t="shared" si="14"/>
        <v>11.645650668464025</v>
      </c>
      <c r="Y43" s="91">
        <f t="shared" si="15"/>
        <v>13.696854061519005</v>
      </c>
    </row>
    <row r="44" spans="1:25" x14ac:dyDescent="0.25">
      <c r="A44" s="57">
        <v>2000</v>
      </c>
      <c r="B44" s="57">
        <v>41</v>
      </c>
      <c r="C44" s="57">
        <v>11.5</v>
      </c>
      <c r="D44" s="61">
        <f t="shared" si="1"/>
        <v>12.549500000000002</v>
      </c>
      <c r="E44" s="61">
        <f t="shared" si="2"/>
        <v>11.9267</v>
      </c>
      <c r="F44" s="61">
        <f t="shared" si="3"/>
        <v>12.42211448328035</v>
      </c>
      <c r="G44" s="61">
        <f t="shared" si="4"/>
        <v>13.927</v>
      </c>
      <c r="H44" s="62">
        <f t="shared" si="18"/>
        <v>12.379999999999999</v>
      </c>
      <c r="I44" s="62">
        <f t="shared" si="16"/>
        <v>12.439876655494061</v>
      </c>
      <c r="J44" s="62">
        <f t="shared" si="17"/>
        <v>0.60521160395161377</v>
      </c>
      <c r="K44" s="62">
        <f t="shared" si="5"/>
        <v>-1.0495000000000019</v>
      </c>
      <c r="L44" s="62">
        <f t="shared" si="6"/>
        <v>-0.4267000000000003</v>
      </c>
      <c r="M44" s="62">
        <f t="shared" si="7"/>
        <v>-0.92211448328034962</v>
      </c>
      <c r="N44" s="62">
        <f t="shared" si="8"/>
        <v>-2.4269999999999996</v>
      </c>
      <c r="O44" s="62">
        <f t="shared" si="13"/>
        <v>-0.87999999999999901</v>
      </c>
      <c r="P44" s="62">
        <f t="shared" si="9"/>
        <v>-0.93987665549406074</v>
      </c>
      <c r="X44" s="91">
        <f t="shared" si="14"/>
        <v>11.227492126938955</v>
      </c>
      <c r="Y44" s="91">
        <f t="shared" si="15"/>
        <v>13.652261184049166</v>
      </c>
    </row>
    <row r="45" spans="1:25" x14ac:dyDescent="0.25">
      <c r="A45" s="57">
        <v>2001</v>
      </c>
      <c r="B45" s="57">
        <v>42</v>
      </c>
      <c r="C45" s="57">
        <v>11.3</v>
      </c>
      <c r="D45" s="61">
        <f t="shared" si="1"/>
        <v>12.450000000000001</v>
      </c>
      <c r="E45" s="61">
        <f t="shared" si="2"/>
        <v>11.901</v>
      </c>
      <c r="F45" s="61">
        <f t="shared" si="3"/>
        <v>12.379680484807304</v>
      </c>
      <c r="G45" s="61">
        <f t="shared" si="4"/>
        <v>14.0258</v>
      </c>
      <c r="H45" s="62">
        <f t="shared" si="18"/>
        <v>12.16</v>
      </c>
      <c r="I45" s="62">
        <f t="shared" si="16"/>
        <v>12.157913658845841</v>
      </c>
      <c r="J45" s="62">
        <f t="shared" si="17"/>
        <v>0.76582866245761017</v>
      </c>
      <c r="K45" s="62">
        <f t="shared" si="5"/>
        <v>-1.1500000000000004</v>
      </c>
      <c r="L45" s="62">
        <f t="shared" si="6"/>
        <v>-0.60099999999999909</v>
      </c>
      <c r="M45" s="62">
        <f t="shared" si="7"/>
        <v>-1.0796804848073034</v>
      </c>
      <c r="N45" s="62">
        <f t="shared" si="8"/>
        <v>-2.7257999999999996</v>
      </c>
      <c r="O45" s="62">
        <f t="shared" si="13"/>
        <v>-0.85999999999999943</v>
      </c>
      <c r="P45" s="62">
        <f t="shared" si="9"/>
        <v>-0.85791365884584003</v>
      </c>
      <c r="X45" s="91">
        <f t="shared" si="14"/>
        <v>10.623774498549952</v>
      </c>
      <c r="Y45" s="91">
        <f t="shared" si="15"/>
        <v>13.692052819141729</v>
      </c>
    </row>
    <row r="46" spans="1:25" x14ac:dyDescent="0.25">
      <c r="A46" s="57">
        <v>2002</v>
      </c>
      <c r="B46" s="57">
        <v>43</v>
      </c>
      <c r="C46" s="57">
        <v>11.3</v>
      </c>
      <c r="D46" s="61">
        <f t="shared" si="1"/>
        <v>12.3505</v>
      </c>
      <c r="E46" s="61">
        <f t="shared" si="2"/>
        <v>11.881900000000002</v>
      </c>
      <c r="F46" s="61">
        <f t="shared" si="3"/>
        <v>12.338384908693037</v>
      </c>
      <c r="G46" s="61">
        <f t="shared" si="4"/>
        <v>14.127800000000001</v>
      </c>
      <c r="H46" s="62">
        <f t="shared" si="18"/>
        <v>11.9</v>
      </c>
      <c r="I46" s="62">
        <f t="shared" si="16"/>
        <v>11.900539561192089</v>
      </c>
      <c r="J46" s="62">
        <f t="shared" si="17"/>
        <v>0.85911081630601505</v>
      </c>
      <c r="K46" s="62">
        <f t="shared" si="5"/>
        <v>-1.0504999999999995</v>
      </c>
      <c r="L46" s="62">
        <f t="shared" si="6"/>
        <v>-0.58190000000000097</v>
      </c>
      <c r="M46" s="62">
        <f t="shared" si="7"/>
        <v>-1.0383849086930361</v>
      </c>
      <c r="N46" s="62">
        <f t="shared" si="8"/>
        <v>-2.8277999999999999</v>
      </c>
      <c r="O46" s="62">
        <f t="shared" si="13"/>
        <v>-0.59999999999999964</v>
      </c>
      <c r="P46" s="62">
        <f t="shared" si="9"/>
        <v>-0.60053956119208785</v>
      </c>
      <c r="X46" s="91">
        <f t="shared" si="14"/>
        <v>10.179533791965245</v>
      </c>
      <c r="Y46" s="91">
        <f t="shared" si="15"/>
        <v>13.621545330418932</v>
      </c>
    </row>
    <row r="47" spans="1:25" x14ac:dyDescent="0.25">
      <c r="A47" s="57">
        <v>2003</v>
      </c>
      <c r="B47" s="57">
        <v>44</v>
      </c>
      <c r="C47" s="57">
        <v>11.7</v>
      </c>
      <c r="D47" s="61">
        <f t="shared" si="1"/>
        <v>12.251000000000001</v>
      </c>
      <c r="E47" s="61">
        <f t="shared" si="2"/>
        <v>11.869400000000001</v>
      </c>
      <c r="F47" s="61">
        <f t="shared" si="3"/>
        <v>12.2981717820043</v>
      </c>
      <c r="G47" s="61">
        <f t="shared" si="4"/>
        <v>14.232400000000002</v>
      </c>
      <c r="H47" s="62">
        <f t="shared" si="18"/>
        <v>11.66</v>
      </c>
      <c r="I47" s="62">
        <f t="shared" si="16"/>
        <v>11.720377692834463</v>
      </c>
      <c r="J47" s="62">
        <f t="shared" si="17"/>
        <v>0.81241035159450936</v>
      </c>
      <c r="K47" s="62">
        <f t="shared" si="5"/>
        <v>-0.55100000000000193</v>
      </c>
      <c r="L47" s="62">
        <f t="shared" si="6"/>
        <v>-0.16940000000000133</v>
      </c>
      <c r="M47" s="62">
        <f t="shared" si="7"/>
        <v>-0.59817178200430021</v>
      </c>
      <c r="N47" s="62">
        <f t="shared" si="8"/>
        <v>-2.5324000000000026</v>
      </c>
      <c r="O47" s="62">
        <f t="shared" si="13"/>
        <v>3.9999999999999147E-2</v>
      </c>
      <c r="P47" s="62">
        <f t="shared" si="9"/>
        <v>-2.0377692834463446E-2</v>
      </c>
      <c r="X47" s="91">
        <f t="shared" si="14"/>
        <v>10.092924196106825</v>
      </c>
      <c r="Y47" s="91">
        <f t="shared" si="15"/>
        <v>13.3478311895621</v>
      </c>
    </row>
    <row r="48" spans="1:25" x14ac:dyDescent="0.25">
      <c r="A48" s="57">
        <v>2004</v>
      </c>
      <c r="B48" s="57">
        <v>45</v>
      </c>
      <c r="C48" s="57">
        <v>11.9</v>
      </c>
      <c r="D48" s="61">
        <f t="shared" si="1"/>
        <v>12.151500000000002</v>
      </c>
      <c r="E48" s="61">
        <f t="shared" si="2"/>
        <v>11.863500000000002</v>
      </c>
      <c r="F48" s="61">
        <f t="shared" si="3"/>
        <v>12.258989078188989</v>
      </c>
      <c r="G48" s="61">
        <f t="shared" si="4"/>
        <v>14.339000000000002</v>
      </c>
      <c r="H48" s="62">
        <f t="shared" si="18"/>
        <v>11.540000000000001</v>
      </c>
      <c r="I48" s="62">
        <f t="shared" si="16"/>
        <v>11.714264384984123</v>
      </c>
      <c r="J48" s="62">
        <f t="shared" si="17"/>
        <v>0.60472551926646789</v>
      </c>
      <c r="K48" s="62">
        <f t="shared" si="5"/>
        <v>-0.25150000000000183</v>
      </c>
      <c r="L48" s="62">
        <f t="shared" si="6"/>
        <v>3.6499999999998423E-2</v>
      </c>
      <c r="M48" s="62">
        <f t="shared" si="7"/>
        <v>-0.35898907818898884</v>
      </c>
      <c r="N48" s="62">
        <f t="shared" si="8"/>
        <v>-2.4390000000000018</v>
      </c>
      <c r="O48" s="62">
        <f t="shared" si="13"/>
        <v>0.35999999999999943</v>
      </c>
      <c r="P48" s="62">
        <f t="shared" si="9"/>
        <v>0.18573561501587754</v>
      </c>
      <c r="X48" s="91">
        <f t="shared" si="14"/>
        <v>10.50285360106311</v>
      </c>
      <c r="Y48" s="91">
        <f t="shared" si="15"/>
        <v>12.925675168905135</v>
      </c>
    </row>
    <row r="49" spans="1:25" x14ac:dyDescent="0.25">
      <c r="A49" s="57">
        <v>2005</v>
      </c>
      <c r="B49" s="57">
        <v>46</v>
      </c>
      <c r="C49" s="57">
        <v>12</v>
      </c>
      <c r="D49" s="61">
        <f t="shared" si="1"/>
        <v>12.052000000000001</v>
      </c>
      <c r="E49" s="61">
        <f t="shared" si="2"/>
        <v>11.8642</v>
      </c>
      <c r="F49" s="61">
        <f t="shared" si="3"/>
        <v>12.220788358318462</v>
      </c>
      <c r="G49" s="61">
        <f t="shared" si="4"/>
        <v>14.446999999999999</v>
      </c>
      <c r="H49" s="62">
        <f t="shared" si="18"/>
        <v>11.54</v>
      </c>
      <c r="I49" s="62">
        <f t="shared" si="16"/>
        <v>11.769985069488886</v>
      </c>
      <c r="J49" s="62">
        <f t="shared" si="17"/>
        <v>0.36311647975425526</v>
      </c>
      <c r="K49" s="62">
        <f t="shared" si="5"/>
        <v>-5.2000000000001378E-2</v>
      </c>
      <c r="L49" s="62">
        <f t="shared" si="6"/>
        <v>0.1357999999999997</v>
      </c>
      <c r="M49" s="62">
        <f t="shared" si="7"/>
        <v>-0.22078835831846177</v>
      </c>
      <c r="N49" s="62">
        <f t="shared" si="8"/>
        <v>-2.4469999999999992</v>
      </c>
      <c r="O49" s="62">
        <f t="shared" si="13"/>
        <v>0.46000000000000085</v>
      </c>
      <c r="P49" s="62">
        <f t="shared" si="9"/>
        <v>0.2300149305111141</v>
      </c>
      <c r="X49" s="91">
        <f t="shared" si="14"/>
        <v>11.042575351560462</v>
      </c>
      <c r="Y49" s="91">
        <f t="shared" si="15"/>
        <v>12.49739478741731</v>
      </c>
    </row>
    <row r="50" spans="1:25" x14ac:dyDescent="0.25">
      <c r="A50" s="57">
        <v>2006</v>
      </c>
      <c r="B50" s="57">
        <v>47</v>
      </c>
      <c r="C50" s="57">
        <v>12.3</v>
      </c>
      <c r="D50" s="61">
        <f t="shared" si="1"/>
        <v>11.952500000000001</v>
      </c>
      <c r="E50" s="61">
        <f t="shared" si="2"/>
        <v>11.871500000000001</v>
      </c>
      <c r="F50" s="61">
        <f t="shared" si="3"/>
        <v>12.183524451949543</v>
      </c>
      <c r="G50" s="61">
        <f t="shared" si="4"/>
        <v>14.555800000000001</v>
      </c>
      <c r="H50" s="62">
        <f t="shared" si="18"/>
        <v>11.639999999999999</v>
      </c>
      <c r="I50" s="62">
        <f t="shared" si="16"/>
        <v>11.838989548642219</v>
      </c>
      <c r="J50" s="62">
        <f t="shared" si="17"/>
        <v>0.17109435730868378</v>
      </c>
      <c r="K50" s="62">
        <f t="shared" si="5"/>
        <v>0.34750000000000014</v>
      </c>
      <c r="L50" s="62">
        <f t="shared" si="6"/>
        <v>0.42849999999999966</v>
      </c>
      <c r="M50" s="62">
        <f t="shared" si="7"/>
        <v>0.11647554805045779</v>
      </c>
      <c r="N50" s="62">
        <f t="shared" si="8"/>
        <v>-2.2558000000000007</v>
      </c>
      <c r="O50" s="62">
        <f t="shared" si="13"/>
        <v>0.66000000000000192</v>
      </c>
      <c r="P50" s="62">
        <f t="shared" si="9"/>
        <v>0.46101045135778129</v>
      </c>
      <c r="X50" s="91">
        <f t="shared" si="14"/>
        <v>11.496246365316358</v>
      </c>
      <c r="Y50" s="91">
        <f t="shared" si="15"/>
        <v>12.181732731968081</v>
      </c>
    </row>
    <row r="51" spans="1:25" x14ac:dyDescent="0.25">
      <c r="A51" s="57">
        <v>2007</v>
      </c>
      <c r="B51" s="57">
        <v>48</v>
      </c>
      <c r="C51" s="57">
        <v>12.6</v>
      </c>
      <c r="D51" s="61">
        <f t="shared" si="1"/>
        <v>11.853000000000002</v>
      </c>
      <c r="E51" s="61">
        <f t="shared" si="2"/>
        <v>11.885400000000001</v>
      </c>
      <c r="F51" s="61">
        <f t="shared" si="3"/>
        <v>12.147155172489597</v>
      </c>
      <c r="G51" s="61">
        <f t="shared" si="4"/>
        <v>14.664799999999996</v>
      </c>
      <c r="H51" s="62">
        <f t="shared" si="18"/>
        <v>11.84</v>
      </c>
      <c r="I51" s="62">
        <f t="shared" si="16"/>
        <v>11.977292684049553</v>
      </c>
      <c r="J51" s="62">
        <f t="shared" si="17"/>
        <v>0.31619362380481586</v>
      </c>
      <c r="K51" s="62">
        <f t="shared" si="5"/>
        <v>0.74699999999999811</v>
      </c>
      <c r="L51" s="62">
        <f t="shared" si="6"/>
        <v>0.71459999999999901</v>
      </c>
      <c r="M51" s="62">
        <f t="shared" si="7"/>
        <v>0.45284482751040223</v>
      </c>
      <c r="N51" s="62">
        <f t="shared" si="8"/>
        <v>-2.0647999999999964</v>
      </c>
      <c r="O51" s="62">
        <f t="shared" si="13"/>
        <v>0.75999999999999979</v>
      </c>
      <c r="P51" s="62">
        <f t="shared" si="9"/>
        <v>0.62270731595044637</v>
      </c>
      <c r="X51" s="91">
        <f t="shared" si="14"/>
        <v>11.34388074180368</v>
      </c>
      <c r="Y51" s="91">
        <f t="shared" si="15"/>
        <v>12.610704626295426</v>
      </c>
    </row>
    <row r="52" spans="1:25" x14ac:dyDescent="0.25">
      <c r="A52" s="57">
        <v>2008</v>
      </c>
      <c r="B52" s="57">
        <v>49</v>
      </c>
      <c r="C52" s="57">
        <v>12.9</v>
      </c>
      <c r="D52" s="61">
        <f t="shared" si="1"/>
        <v>11.753500000000001</v>
      </c>
      <c r="E52" s="61">
        <f t="shared" si="2"/>
        <v>11.905900000000003</v>
      </c>
      <c r="F52" s="61">
        <f t="shared" si="3"/>
        <v>12.111641062700562</v>
      </c>
      <c r="G52" s="61">
        <f t="shared" si="4"/>
        <v>14.773399999999999</v>
      </c>
      <c r="H52" s="62">
        <f t="shared" si="18"/>
        <v>12.100000000000001</v>
      </c>
      <c r="I52" s="62">
        <f t="shared" si="16"/>
        <v>12.164104878834687</v>
      </c>
      <c r="J52" s="62">
        <f t="shared" si="17"/>
        <v>0.46661972592156414</v>
      </c>
      <c r="K52" s="62">
        <f t="shared" si="5"/>
        <v>1.1464999999999996</v>
      </c>
      <c r="L52" s="62">
        <f t="shared" si="6"/>
        <v>0.99409999999999776</v>
      </c>
      <c r="M52" s="62">
        <f t="shared" si="7"/>
        <v>0.78835893729943862</v>
      </c>
      <c r="N52" s="62">
        <f t="shared" si="8"/>
        <v>-1.8733999999999984</v>
      </c>
      <c r="O52" s="62">
        <f t="shared" si="13"/>
        <v>0.79999999999999893</v>
      </c>
      <c r="P52" s="62">
        <f t="shared" si="9"/>
        <v>0.73589512116531353</v>
      </c>
      <c r="X52" s="91">
        <f t="shared" si="14"/>
        <v>11.229353243650975</v>
      </c>
      <c r="Y52" s="91">
        <f t="shared" si="15"/>
        <v>13.098856514018399</v>
      </c>
    </row>
    <row r="53" spans="1:25" x14ac:dyDescent="0.25">
      <c r="A53" s="57">
        <v>2009</v>
      </c>
      <c r="B53" s="57">
        <v>50</v>
      </c>
      <c r="C53" s="57">
        <v>12.7</v>
      </c>
      <c r="D53" s="61">
        <f t="shared" si="1"/>
        <v>11.654</v>
      </c>
      <c r="E53" s="61">
        <f t="shared" si="2"/>
        <v>11.933000000000002</v>
      </c>
      <c r="F53" s="61">
        <f t="shared" si="3"/>
        <v>12.076945166606855</v>
      </c>
      <c r="G53" s="61">
        <f t="shared" si="4"/>
        <v>14.881</v>
      </c>
      <c r="H53" s="62">
        <f t="shared" si="18"/>
        <v>12.34</v>
      </c>
      <c r="I53" s="62">
        <f t="shared" si="16"/>
        <v>12.384873415184281</v>
      </c>
      <c r="J53" s="62">
        <f t="shared" si="17"/>
        <v>0.61693777831972263</v>
      </c>
      <c r="K53" s="62">
        <f t="shared" si="5"/>
        <v>1.0459999999999994</v>
      </c>
      <c r="L53" s="62">
        <f t="shared" si="6"/>
        <v>0.76699999999999768</v>
      </c>
      <c r="M53" s="62">
        <f t="shared" si="7"/>
        <v>0.62305483339314449</v>
      </c>
      <c r="N53" s="62">
        <f t="shared" si="8"/>
        <v>-2.1810000000000009</v>
      </c>
      <c r="O53" s="62">
        <f t="shared" si="13"/>
        <v>0.35999999999999943</v>
      </c>
      <c r="P53" s="62">
        <f t="shared" si="9"/>
        <v>0.31512658481571876</v>
      </c>
      <c r="X53" s="91">
        <f t="shared" si="14"/>
        <v>11.14899853665867</v>
      </c>
      <c r="Y53" s="91">
        <f t="shared" si="15"/>
        <v>13.620748293709891</v>
      </c>
    </row>
    <row r="54" spans="1:25" x14ac:dyDescent="0.25">
      <c r="A54" s="57">
        <v>2010</v>
      </c>
      <c r="B54" s="57">
        <v>51</v>
      </c>
      <c r="C54" s="57">
        <v>12.9</v>
      </c>
      <c r="D54" s="61">
        <f t="shared" si="1"/>
        <v>11.554500000000001</v>
      </c>
      <c r="E54" s="61">
        <f t="shared" si="2"/>
        <v>11.966700000000001</v>
      </c>
      <c r="F54" s="61">
        <f t="shared" si="3"/>
        <v>12.043032824599619</v>
      </c>
      <c r="G54" s="61">
        <f t="shared" si="4"/>
        <v>14.987000000000002</v>
      </c>
      <c r="H54" s="62">
        <f t="shared" si="18"/>
        <v>12.5</v>
      </c>
      <c r="I54" s="62">
        <f t="shared" si="16"/>
        <v>12.479411390628997</v>
      </c>
      <c r="J54" s="62">
        <f t="shared" si="17"/>
        <v>0.58555124886746357</v>
      </c>
      <c r="K54" s="62">
        <f t="shared" si="5"/>
        <v>1.3454999999999995</v>
      </c>
      <c r="L54" s="62">
        <f t="shared" si="6"/>
        <v>0.93329999999999913</v>
      </c>
      <c r="M54" s="62">
        <f t="shared" si="7"/>
        <v>0.85696717540038136</v>
      </c>
      <c r="N54" s="62">
        <f t="shared" si="8"/>
        <v>-2.0870000000000015</v>
      </c>
      <c r="O54" s="62">
        <f t="shared" si="13"/>
        <v>0.40000000000000036</v>
      </c>
      <c r="P54" s="62">
        <f t="shared" si="9"/>
        <v>0.42058860937100384</v>
      </c>
      <c r="X54" s="91">
        <f t="shared" si="14"/>
        <v>11.306411285925469</v>
      </c>
      <c r="Y54" s="91">
        <f t="shared" si="15"/>
        <v>13.652411495332524</v>
      </c>
    </row>
    <row r="55" spans="1:25" x14ac:dyDescent="0.25">
      <c r="A55" s="57">
        <v>2011</v>
      </c>
      <c r="B55" s="57">
        <v>52</v>
      </c>
      <c r="C55" s="57">
        <v>12.8</v>
      </c>
      <c r="D55" s="61">
        <f t="shared" si="1"/>
        <v>11.455000000000002</v>
      </c>
      <c r="E55" s="61">
        <f t="shared" si="2"/>
        <v>12.007000000000001</v>
      </c>
      <c r="F55" s="61">
        <f t="shared" si="3"/>
        <v>12.009871488974078</v>
      </c>
      <c r="G55" s="61">
        <f t="shared" si="4"/>
        <v>15.090799999999998</v>
      </c>
      <c r="H55" s="62">
        <f t="shared" si="18"/>
        <v>12.68</v>
      </c>
      <c r="I55" s="62">
        <f t="shared" si="16"/>
        <v>12.605587973440297</v>
      </c>
      <c r="J55" s="62">
        <f t="shared" si="17"/>
        <v>0.5220923201073302</v>
      </c>
      <c r="K55" s="62">
        <f t="shared" si="5"/>
        <v>1.3449999999999989</v>
      </c>
      <c r="L55" s="62">
        <f t="shared" si="6"/>
        <v>0.79299999999999926</v>
      </c>
      <c r="M55" s="62">
        <f t="shared" si="7"/>
        <v>0.79012851102592307</v>
      </c>
      <c r="N55" s="62">
        <f t="shared" si="8"/>
        <v>-2.2907999999999973</v>
      </c>
      <c r="O55" s="62">
        <f t="shared" si="13"/>
        <v>0.12000000000000099</v>
      </c>
      <c r="P55" s="62">
        <f t="shared" si="9"/>
        <v>0.19441202655970358</v>
      </c>
      <c r="X55" s="91">
        <f t="shared" si="14"/>
        <v>11.559711378803534</v>
      </c>
      <c r="Y55" s="91">
        <f t="shared" si="15"/>
        <v>13.65146456807706</v>
      </c>
    </row>
    <row r="56" spans="1:25" x14ac:dyDescent="0.25">
      <c r="A56" s="57">
        <v>2012</v>
      </c>
      <c r="B56" s="57">
        <v>53</v>
      </c>
      <c r="C56" s="57">
        <v>12.8</v>
      </c>
      <c r="D56" s="61">
        <f t="shared" si="1"/>
        <v>11.355500000000001</v>
      </c>
      <c r="E56" s="61">
        <f t="shared" si="2"/>
        <v>12.053900000000002</v>
      </c>
      <c r="F56" s="61">
        <f t="shared" si="3"/>
        <v>11.97743055751234</v>
      </c>
      <c r="G56" s="61">
        <f t="shared" si="4"/>
        <v>15.191800000000001</v>
      </c>
      <c r="H56" s="62">
        <f t="shared" si="18"/>
        <v>12.780000000000001</v>
      </c>
      <c r="I56" s="62">
        <f t="shared" si="16"/>
        <v>12.663911581408207</v>
      </c>
      <c r="J56" s="62">
        <f t="shared" si="17"/>
        <v>0.32352000394684721</v>
      </c>
      <c r="K56" s="62">
        <f t="shared" si="5"/>
        <v>1.4444999999999997</v>
      </c>
      <c r="L56" s="62">
        <f t="shared" si="6"/>
        <v>0.74609999999999843</v>
      </c>
      <c r="M56" s="62">
        <f t="shared" si="7"/>
        <v>0.8225694424876604</v>
      </c>
      <c r="N56" s="62">
        <f t="shared" si="8"/>
        <v>-2.3917999999999999</v>
      </c>
      <c r="O56" s="62">
        <f t="shared" si="13"/>
        <v>1.9999999999999574E-2</v>
      </c>
      <c r="P56" s="62">
        <f t="shared" si="9"/>
        <v>0.13608841859179321</v>
      </c>
      <c r="X56" s="91">
        <f t="shared" si="14"/>
        <v>12.015823136140058</v>
      </c>
      <c r="Y56" s="91">
        <f t="shared" si="15"/>
        <v>13.312000026676357</v>
      </c>
    </row>
    <row r="57" spans="1:25" x14ac:dyDescent="0.25">
      <c r="A57" s="57">
        <v>2013</v>
      </c>
      <c r="B57" s="57">
        <v>54</v>
      </c>
      <c r="C57" s="57">
        <v>12.1</v>
      </c>
      <c r="D57" s="61">
        <f t="shared" si="1"/>
        <v>11.256</v>
      </c>
      <c r="E57" s="61">
        <f t="shared" si="2"/>
        <v>12.1074</v>
      </c>
      <c r="F57" s="61">
        <f t="shared" si="3"/>
        <v>11.945681223042284</v>
      </c>
      <c r="G57" s="61">
        <f t="shared" si="4"/>
        <v>15.289400000000001</v>
      </c>
      <c r="H57" s="62">
        <f t="shared" si="18"/>
        <v>12.819999999999999</v>
      </c>
      <c r="I57" s="62">
        <f t="shared" si="16"/>
        <v>12.704738106985744</v>
      </c>
      <c r="J57" s="62">
        <f t="shared" si="17"/>
        <v>0.27881348130874212</v>
      </c>
      <c r="K57" s="62">
        <f t="shared" si="5"/>
        <v>0.84399999999999942</v>
      </c>
      <c r="L57" s="62">
        <f t="shared" si="6"/>
        <v>-7.4000000000005173E-3</v>
      </c>
      <c r="M57" s="62">
        <f t="shared" si="7"/>
        <v>0.1543187769577159</v>
      </c>
      <c r="N57" s="62">
        <f t="shared" si="8"/>
        <v>-3.1894000000000009</v>
      </c>
      <c r="O57" s="62">
        <f t="shared" si="13"/>
        <v>-0.71999999999999886</v>
      </c>
      <c r="P57" s="62">
        <f t="shared" si="9"/>
        <v>-0.60473810698574404</v>
      </c>
      <c r="X57" s="91">
        <f t="shared" si="14"/>
        <v>12.146207588264341</v>
      </c>
      <c r="Y57" s="91">
        <f t="shared" si="15"/>
        <v>13.263268625707147</v>
      </c>
    </row>
    <row r="58" spans="1:25" x14ac:dyDescent="0.25">
      <c r="A58" s="57">
        <v>2014</v>
      </c>
      <c r="B58" s="57">
        <v>55</v>
      </c>
      <c r="C58" s="57">
        <v>12</v>
      </c>
      <c r="D58" s="61">
        <f t="shared" si="1"/>
        <v>11.156500000000001</v>
      </c>
      <c r="E58" s="61">
        <f t="shared" si="2"/>
        <v>12.167500000000002</v>
      </c>
      <c r="F58" s="61">
        <f t="shared" si="3"/>
        <v>11.91459633717405</v>
      </c>
      <c r="G58" s="61">
        <f t="shared" si="4"/>
        <v>15.383000000000006</v>
      </c>
      <c r="H58" s="62">
        <f t="shared" si="18"/>
        <v>12.66</v>
      </c>
      <c r="I58" s="62">
        <f t="shared" si="16"/>
        <v>12.523316674890019</v>
      </c>
      <c r="J58" s="62">
        <f t="shared" si="17"/>
        <v>0.37506633714876236</v>
      </c>
      <c r="K58" s="62">
        <f t="shared" si="5"/>
        <v>0.84349999999999881</v>
      </c>
      <c r="L58" s="62">
        <f t="shared" si="6"/>
        <v>-0.1675000000000022</v>
      </c>
      <c r="M58" s="62">
        <f t="shared" si="7"/>
        <v>8.5403662825950022E-2</v>
      </c>
      <c r="N58" s="62">
        <f t="shared" si="8"/>
        <v>-3.3830000000000062</v>
      </c>
      <c r="O58" s="62">
        <f t="shared" si="13"/>
        <v>-0.66000000000000014</v>
      </c>
      <c r="P58" s="62">
        <f t="shared" si="9"/>
        <v>-0.52331667489001887</v>
      </c>
      <c r="X58" s="91">
        <f t="shared" si="14"/>
        <v>11.771968516044494</v>
      </c>
      <c r="Y58" s="91">
        <f t="shared" si="15"/>
        <v>13.274664833735544</v>
      </c>
    </row>
    <row r="59" spans="1:25" x14ac:dyDescent="0.25">
      <c r="A59" s="57">
        <v>2015</v>
      </c>
      <c r="B59" s="57">
        <v>56</v>
      </c>
      <c r="C59" s="57">
        <v>11.9</v>
      </c>
      <c r="D59" s="61">
        <f t="shared" si="1"/>
        <v>11.057000000000002</v>
      </c>
      <c r="E59" s="61">
        <f t="shared" si="2"/>
        <v>12.234200000000001</v>
      </c>
      <c r="F59" s="61">
        <f t="shared" si="3"/>
        <v>11.884150286646959</v>
      </c>
      <c r="G59" s="61">
        <f t="shared" si="4"/>
        <v>15.472000000000001</v>
      </c>
      <c r="H59" s="62">
        <f t="shared" si="18"/>
        <v>12.52</v>
      </c>
      <c r="I59" s="62">
        <f t="shared" si="16"/>
        <v>12.366321672423013</v>
      </c>
      <c r="J59" s="62">
        <f t="shared" si="17"/>
        <v>0.46836188925995459</v>
      </c>
      <c r="K59" s="62">
        <f t="shared" si="5"/>
        <v>0.8429999999999982</v>
      </c>
      <c r="L59" s="62">
        <f t="shared" si="6"/>
        <v>-0.33420000000000094</v>
      </c>
      <c r="M59" s="62">
        <f t="shared" si="7"/>
        <v>1.584971335304175E-2</v>
      </c>
      <c r="N59" s="62">
        <f t="shared" si="8"/>
        <v>-3.572000000000001</v>
      </c>
      <c r="O59" s="62">
        <f t="shared" si="13"/>
        <v>-0.61999999999999922</v>
      </c>
      <c r="P59" s="62">
        <f t="shared" si="9"/>
        <v>-0.46632167242301215</v>
      </c>
      <c r="X59" s="91">
        <f t="shared" si="14"/>
        <v>11.428080064700953</v>
      </c>
      <c r="Y59" s="91">
        <f t="shared" si="15"/>
        <v>13.304563280145072</v>
      </c>
    </row>
    <row r="60" spans="1:25" x14ac:dyDescent="0.25">
      <c r="A60" s="57">
        <v>2016</v>
      </c>
      <c r="B60" s="57">
        <v>57</v>
      </c>
      <c r="C60" s="57">
        <v>11.8</v>
      </c>
      <c r="D60" s="61">
        <f t="shared" si="1"/>
        <v>10.957500000000001</v>
      </c>
      <c r="E60" s="61">
        <f t="shared" si="2"/>
        <v>12.307500000000003</v>
      </c>
      <c r="F60" s="61">
        <f t="shared" si="3"/>
        <v>11.854318880917436</v>
      </c>
      <c r="G60" s="61">
        <f t="shared" si="4"/>
        <v>15.555799999999998</v>
      </c>
      <c r="H60" s="62">
        <f t="shared" si="18"/>
        <v>12.32</v>
      </c>
      <c r="I60" s="62">
        <f t="shared" si="16"/>
        <v>12.226425170696109</v>
      </c>
      <c r="J60" s="62">
        <f t="shared" si="17"/>
        <v>0.53448555403928433</v>
      </c>
      <c r="K60" s="62">
        <f t="shared" si="5"/>
        <v>0.84249999999999936</v>
      </c>
      <c r="L60" s="62">
        <f t="shared" si="6"/>
        <v>-0.50750000000000206</v>
      </c>
      <c r="M60" s="62">
        <f t="shared" si="7"/>
        <v>-5.4318880917435308E-2</v>
      </c>
      <c r="N60" s="62">
        <f t="shared" si="8"/>
        <v>-3.7557999999999971</v>
      </c>
      <c r="O60" s="62">
        <f t="shared" si="13"/>
        <v>-0.51999999999999957</v>
      </c>
      <c r="P60" s="62">
        <f t="shared" si="9"/>
        <v>-0.42642517069610797</v>
      </c>
      <c r="X60" s="91">
        <f t="shared" si="14"/>
        <v>11.155721945208649</v>
      </c>
      <c r="Y60" s="91">
        <f t="shared" si="15"/>
        <v>13.297128396183568</v>
      </c>
    </row>
    <row r="61" spans="1:25" x14ac:dyDescent="0.25">
      <c r="A61" s="57">
        <v>2017</v>
      </c>
      <c r="B61" s="57">
        <v>58</v>
      </c>
      <c r="C61" s="57">
        <v>11.4</v>
      </c>
      <c r="D61" s="61">
        <f t="shared" si="1"/>
        <v>10.858000000000001</v>
      </c>
      <c r="E61" s="61">
        <f t="shared" si="2"/>
        <v>12.387400000000001</v>
      </c>
      <c r="F61" s="61">
        <f t="shared" si="3"/>
        <v>11.82507924978848</v>
      </c>
      <c r="G61" s="61">
        <f t="shared" si="4"/>
        <v>15.633800000000001</v>
      </c>
      <c r="H61" s="62">
        <f>AVERAGE(C56:C60)</f>
        <v>12.12</v>
      </c>
      <c r="I61" s="62">
        <f t="shared" si="16"/>
        <v>12.098497619487276</v>
      </c>
      <c r="J61" s="62">
        <f t="shared" si="17"/>
        <v>0.47369282261557982</v>
      </c>
      <c r="K61" s="62">
        <f t="shared" si="5"/>
        <v>0.54199999999999982</v>
      </c>
      <c r="L61" s="62">
        <f t="shared" si="6"/>
        <v>-0.98740000000000094</v>
      </c>
      <c r="M61" s="62">
        <f t="shared" si="7"/>
        <v>-0.42507924978847988</v>
      </c>
      <c r="N61" s="62">
        <f t="shared" si="8"/>
        <v>-4.2338000000000005</v>
      </c>
      <c r="O61" s="62">
        <f t="shared" si="13"/>
        <v>-0.71999999999999886</v>
      </c>
      <c r="P61" s="62">
        <f t="shared" si="9"/>
        <v>-0.6984976194872754</v>
      </c>
      <c r="X61" s="91">
        <f t="shared" si="14"/>
        <v>11.149576868997764</v>
      </c>
      <c r="Y61" s="91">
        <f t="shared" si="15"/>
        <v>13.047418369976787</v>
      </c>
    </row>
    <row r="62" spans="1:25" x14ac:dyDescent="0.25">
      <c r="A62" s="57">
        <v>2018</v>
      </c>
      <c r="B62" s="57">
        <v>59</v>
      </c>
      <c r="C62" s="57">
        <v>11</v>
      </c>
      <c r="D62" s="61">
        <f t="shared" si="1"/>
        <v>10.758500000000002</v>
      </c>
      <c r="E62" s="61">
        <f t="shared" si="2"/>
        <v>12.473900000000002</v>
      </c>
      <c r="F62" s="61">
        <f t="shared" si="3"/>
        <v>11.796409750027571</v>
      </c>
      <c r="G62" s="61">
        <f t="shared" si="4"/>
        <v>15.705400000000004</v>
      </c>
      <c r="H62" s="62">
        <f>AVERAGE(C57:C61)</f>
        <v>11.84</v>
      </c>
      <c r="I62" s="62">
        <f t="shared" si="16"/>
        <v>11.888948333641093</v>
      </c>
      <c r="J62" s="62">
        <f t="shared" si="17"/>
        <v>0.54381162571978614</v>
      </c>
      <c r="K62" s="62">
        <f t="shared" si="5"/>
        <v>0.24149999999999849</v>
      </c>
      <c r="L62" s="62">
        <f t="shared" si="6"/>
        <v>-1.4739000000000022</v>
      </c>
      <c r="M62" s="62">
        <f t="shared" si="7"/>
        <v>-0.79640975002757131</v>
      </c>
      <c r="N62" s="62">
        <f t="shared" si="8"/>
        <v>-4.7054000000000045</v>
      </c>
      <c r="O62" s="62">
        <f t="shared" ref="O62" si="19">$C62-H62</f>
        <v>-0.83999999999999986</v>
      </c>
      <c r="P62" s="62">
        <f t="shared" ref="P62" si="20">$C62-I62</f>
        <v>-0.8889483336410926</v>
      </c>
      <c r="X62" s="91">
        <f t="shared" ref="X62:X63" si="21">I62-J62*$Q$13</f>
        <v>10.799562741616358</v>
      </c>
      <c r="Y62" s="91">
        <f t="shared" ref="Y62:Y63" si="22">I62+J62*$Q$13</f>
        <v>12.978333925665828</v>
      </c>
    </row>
    <row r="63" spans="1:25" s="3" customFormat="1" x14ac:dyDescent="0.25">
      <c r="A63" s="3">
        <v>2019</v>
      </c>
      <c r="B63" s="3">
        <v>59</v>
      </c>
      <c r="D63" s="71">
        <f t="shared" si="1"/>
        <v>10.758500000000002</v>
      </c>
      <c r="E63" s="71">
        <f t="shared" si="2"/>
        <v>12.473900000000002</v>
      </c>
      <c r="F63" s="71">
        <f t="shared" si="3"/>
        <v>11.796409750027571</v>
      </c>
      <c r="G63" s="71">
        <f t="shared" si="4"/>
        <v>15.705400000000004</v>
      </c>
      <c r="H63" s="72">
        <f>AVERAGE(C58:C62)</f>
        <v>11.620000000000001</v>
      </c>
      <c r="I63" s="72">
        <f t="shared" si="16"/>
        <v>11.622263833548764</v>
      </c>
      <c r="J63" s="72">
        <f t="shared" si="17"/>
        <v>0.69760697877717903</v>
      </c>
      <c r="L63" s="61"/>
      <c r="M63" s="61"/>
      <c r="N63" s="61"/>
      <c r="O63" s="61"/>
      <c r="P63" s="61"/>
      <c r="Q63" s="2"/>
      <c r="R63" s="2"/>
      <c r="S63" s="2"/>
      <c r="T63" s="2"/>
      <c r="U63" s="2"/>
      <c r="V63" s="2"/>
      <c r="W63" s="2"/>
      <c r="X63" s="91">
        <f t="shared" si="21"/>
        <v>10.224789127909876</v>
      </c>
      <c r="Y63" s="91">
        <f t="shared" si="22"/>
        <v>13.019738539187653</v>
      </c>
    </row>
    <row r="64" spans="1:25" x14ac:dyDescent="0.25">
      <c r="Q64" s="3"/>
      <c r="R64" s="3"/>
      <c r="S64" s="3"/>
      <c r="T64" s="3"/>
      <c r="U64" s="3"/>
      <c r="V64" s="3"/>
      <c r="W64" s="3"/>
      <c r="X64" s="3"/>
      <c r="Y64" s="3"/>
    </row>
    <row r="65" spans="8:8" x14ac:dyDescent="0.25">
      <c r="H65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13"/>
  <sheetViews>
    <sheetView workbookViewId="0">
      <selection activeCell="A2" sqref="A2"/>
    </sheetView>
  </sheetViews>
  <sheetFormatPr defaultColWidth="8.85546875" defaultRowHeight="15" x14ac:dyDescent="0.25"/>
  <cols>
    <col min="1" max="16384" width="8.85546875" style="1"/>
  </cols>
  <sheetData>
    <row r="1" spans="1:2" x14ac:dyDescent="0.25">
      <c r="A1" s="138" t="s">
        <v>157</v>
      </c>
      <c r="B1" s="1" t="s">
        <v>35</v>
      </c>
    </row>
    <row r="2" spans="1:2" x14ac:dyDescent="0.25">
      <c r="B2" s="1" t="s">
        <v>143</v>
      </c>
    </row>
    <row r="3" spans="1:2" x14ac:dyDescent="0.25">
      <c r="B3" s="1" t="s">
        <v>36</v>
      </c>
    </row>
    <row r="5" spans="1:2" x14ac:dyDescent="0.25">
      <c r="A5" s="138" t="s">
        <v>158</v>
      </c>
      <c r="B5" s="1" t="s">
        <v>144</v>
      </c>
    </row>
    <row r="6" spans="1:2" x14ac:dyDescent="0.25">
      <c r="B6" s="1" t="s">
        <v>37</v>
      </c>
    </row>
    <row r="8" spans="1:2" x14ac:dyDescent="0.25">
      <c r="A8" s="138" t="s">
        <v>159</v>
      </c>
      <c r="B8" s="1" t="s">
        <v>38</v>
      </c>
    </row>
    <row r="10" spans="1:2" x14ac:dyDescent="0.25">
      <c r="A10" s="138" t="s">
        <v>160</v>
      </c>
      <c r="B10" s="1" t="s">
        <v>39</v>
      </c>
    </row>
    <row r="11" spans="1:2" x14ac:dyDescent="0.25">
      <c r="B11" s="1" t="s">
        <v>40</v>
      </c>
    </row>
    <row r="13" spans="1:2" x14ac:dyDescent="0.25">
      <c r="A13" s="138" t="s">
        <v>161</v>
      </c>
      <c r="B13" s="1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4"/>
  <sheetViews>
    <sheetView workbookViewId="0">
      <selection activeCell="A2" sqref="A2"/>
    </sheetView>
  </sheetViews>
  <sheetFormatPr defaultColWidth="8.85546875" defaultRowHeight="15" x14ac:dyDescent="0.25"/>
  <cols>
    <col min="1" max="16384" width="8.85546875" style="1"/>
  </cols>
  <sheetData>
    <row r="1" spans="1:8" x14ac:dyDescent="0.25">
      <c r="A1" s="138" t="s">
        <v>166</v>
      </c>
      <c r="B1" s="1" t="s">
        <v>42</v>
      </c>
    </row>
    <row r="3" spans="1:8" x14ac:dyDescent="0.25">
      <c r="A3" s="138" t="s">
        <v>165</v>
      </c>
      <c r="B3" s="1" t="s">
        <v>43</v>
      </c>
    </row>
    <row r="4" spans="1:8" x14ac:dyDescent="0.25">
      <c r="B4" s="1" t="s">
        <v>44</v>
      </c>
    </row>
    <row r="6" spans="1:8" x14ac:dyDescent="0.25">
      <c r="A6" s="138" t="s">
        <v>164</v>
      </c>
      <c r="B6" s="1" t="s">
        <v>45</v>
      </c>
    </row>
    <row r="7" spans="1:8" x14ac:dyDescent="0.25">
      <c r="B7" s="1" t="s">
        <v>51</v>
      </c>
    </row>
    <row r="9" spans="1:8" x14ac:dyDescent="0.25">
      <c r="E9"/>
    </row>
    <row r="12" spans="1:8" ht="18" x14ac:dyDescent="0.35">
      <c r="B12" s="1" t="s">
        <v>52</v>
      </c>
      <c r="G12" s="20" t="s">
        <v>46</v>
      </c>
    </row>
    <row r="13" spans="1:8" x14ac:dyDescent="0.25">
      <c r="B13"/>
    </row>
    <row r="14" spans="1:8" x14ac:dyDescent="0.25">
      <c r="B14" s="1" t="s">
        <v>53</v>
      </c>
    </row>
    <row r="16" spans="1:8" ht="18" x14ac:dyDescent="0.35">
      <c r="B16" s="1" t="s">
        <v>54</v>
      </c>
      <c r="F16" s="20" t="s">
        <v>47</v>
      </c>
      <c r="H16" s="1" t="s">
        <v>48</v>
      </c>
    </row>
    <row r="18" spans="1:6" x14ac:dyDescent="0.25">
      <c r="B18" s="1" t="s">
        <v>55</v>
      </c>
    </row>
    <row r="20" spans="1:6" ht="18" x14ac:dyDescent="0.35">
      <c r="B20" s="1" t="s">
        <v>56</v>
      </c>
      <c r="D20" s="20" t="s">
        <v>49</v>
      </c>
      <c r="F20" s="1" t="s">
        <v>48</v>
      </c>
    </row>
    <row r="22" spans="1:6" x14ac:dyDescent="0.25">
      <c r="A22" s="138" t="s">
        <v>163</v>
      </c>
      <c r="B22" s="1" t="s">
        <v>50</v>
      </c>
    </row>
    <row r="24" spans="1:6" x14ac:dyDescent="0.25">
      <c r="A24" s="138" t="s">
        <v>162</v>
      </c>
      <c r="B24" s="1" t="s">
        <v>57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A27"/>
  <sheetViews>
    <sheetView workbookViewId="0">
      <selection activeCell="A2" sqref="A2"/>
    </sheetView>
  </sheetViews>
  <sheetFormatPr defaultColWidth="8.85546875" defaultRowHeight="15" x14ac:dyDescent="0.25"/>
  <cols>
    <col min="1" max="3" width="8.85546875" style="7"/>
    <col min="4" max="4" width="5.140625" style="7" customWidth="1"/>
    <col min="5" max="7" width="8.85546875" style="7"/>
    <col min="8" max="8" width="4.140625" style="7" customWidth="1"/>
    <col min="9" max="12" width="8.85546875" style="7"/>
    <col min="13" max="13" width="19.28515625" style="7" customWidth="1"/>
    <col min="14" max="14" width="17.28515625" style="7" customWidth="1"/>
    <col min="15" max="15" width="12" style="7" customWidth="1"/>
    <col min="16" max="16" width="8.85546875" style="7"/>
    <col min="17" max="17" width="15.85546875" style="7" customWidth="1"/>
    <col min="18" max="18" width="19.85546875" style="7" customWidth="1"/>
    <col min="19" max="19" width="13.28515625" style="7" customWidth="1"/>
    <col min="20" max="20" width="8.85546875" style="7"/>
    <col min="21" max="21" width="4.85546875" style="7" customWidth="1"/>
    <col min="22" max="22" width="8.85546875" style="7"/>
    <col min="23" max="23" width="11.7109375" style="7" customWidth="1"/>
    <col min="24" max="25" width="8.85546875" style="7"/>
    <col min="26" max="26" width="12.140625" style="7" customWidth="1"/>
    <col min="27" max="27" width="10.7109375" style="7" customWidth="1"/>
    <col min="28" max="28" width="9.5703125" style="7" bestFit="1" customWidth="1"/>
    <col min="29" max="16384" width="8.85546875" style="7"/>
  </cols>
  <sheetData>
    <row r="1" spans="1:27" x14ac:dyDescent="0.25">
      <c r="A1" s="14" t="s">
        <v>167</v>
      </c>
    </row>
    <row r="2" spans="1:27" x14ac:dyDescent="0.25">
      <c r="P2" s="103">
        <f>SLOPE(Q4:Q19,K4:K19)</f>
        <v>4.8421786888008169</v>
      </c>
      <c r="Q2" s="104" t="s">
        <v>63</v>
      </c>
      <c r="R2" s="103">
        <f>INTERCEPT(Q4:Q19,K4:K19)</f>
        <v>125.62805249467854</v>
      </c>
      <c r="S2" s="104" t="s">
        <v>62</v>
      </c>
    </row>
    <row r="3" spans="1:27" x14ac:dyDescent="0.25">
      <c r="A3" s="92" t="s">
        <v>1</v>
      </c>
      <c r="B3" s="92" t="s">
        <v>79</v>
      </c>
      <c r="C3" s="92" t="s">
        <v>61</v>
      </c>
      <c r="E3" s="92" t="s">
        <v>1</v>
      </c>
      <c r="F3" s="92" t="s">
        <v>79</v>
      </c>
      <c r="G3" s="92" t="s">
        <v>61</v>
      </c>
      <c r="I3" s="102" t="s">
        <v>1</v>
      </c>
      <c r="J3" s="102" t="s">
        <v>28</v>
      </c>
      <c r="K3" s="102" t="s">
        <v>27</v>
      </c>
      <c r="L3" s="102" t="s">
        <v>78</v>
      </c>
      <c r="M3" s="102" t="s">
        <v>77</v>
      </c>
      <c r="N3" s="102" t="s">
        <v>76</v>
      </c>
      <c r="O3" s="102" t="s">
        <v>75</v>
      </c>
      <c r="P3" s="102" t="s">
        <v>74</v>
      </c>
      <c r="Q3" s="102" t="s">
        <v>73</v>
      </c>
      <c r="R3" s="102" t="s">
        <v>72</v>
      </c>
      <c r="S3" s="102" t="s">
        <v>60</v>
      </c>
      <c r="V3" s="7" t="s">
        <v>71</v>
      </c>
    </row>
    <row r="4" spans="1:27" x14ac:dyDescent="0.25">
      <c r="A4" s="93">
        <v>2017</v>
      </c>
      <c r="B4" s="93" t="s">
        <v>70</v>
      </c>
      <c r="C4" s="94">
        <v>100</v>
      </c>
      <c r="E4" s="93">
        <v>2019</v>
      </c>
      <c r="F4" s="93" t="s">
        <v>70</v>
      </c>
      <c r="G4" s="94">
        <v>141</v>
      </c>
      <c r="I4" s="95">
        <v>2017</v>
      </c>
      <c r="J4" s="95">
        <v>1</v>
      </c>
      <c r="K4" s="95">
        <v>1</v>
      </c>
      <c r="L4" s="94">
        <v>100</v>
      </c>
      <c r="M4" s="95"/>
      <c r="N4" s="95"/>
      <c r="O4" s="95"/>
      <c r="P4" s="97">
        <f>W24</f>
        <v>0.81383220112377386</v>
      </c>
      <c r="Q4" s="6">
        <f>L4/P4</f>
        <v>122.87545253421501</v>
      </c>
      <c r="R4" s="6">
        <f>$R$2+$P$2*K4</f>
        <v>130.47023118347937</v>
      </c>
      <c r="S4" s="6">
        <f>R4*P4</f>
        <v>106.18087542517866</v>
      </c>
      <c r="V4" s="32"/>
      <c r="W4" s="32"/>
      <c r="X4" s="47"/>
      <c r="Y4" s="47" t="s">
        <v>1</v>
      </c>
      <c r="Z4" s="55"/>
    </row>
    <row r="5" spans="1:27" x14ac:dyDescent="0.25">
      <c r="A5" s="93"/>
      <c r="B5" s="93" t="s">
        <v>69</v>
      </c>
      <c r="C5" s="94">
        <v>160</v>
      </c>
      <c r="E5" s="93"/>
      <c r="F5" s="93" t="s">
        <v>69</v>
      </c>
      <c r="G5" s="94">
        <v>204</v>
      </c>
      <c r="I5" s="95"/>
      <c r="J5" s="95">
        <v>2</v>
      </c>
      <c r="K5" s="95">
        <v>2</v>
      </c>
      <c r="L5" s="94">
        <v>160</v>
      </c>
      <c r="M5" s="6">
        <f t="shared" ref="M5:M17" si="0">AVERAGE(L4:L7)</f>
        <v>137.5</v>
      </c>
      <c r="N5" s="95"/>
      <c r="O5" s="95"/>
      <c r="P5" s="98">
        <f>W25</f>
        <v>1.1359536509592347</v>
      </c>
      <c r="Q5" s="6">
        <f t="shared" ref="Q5:Q19" si="1">L5/P5</f>
        <v>140.85081716572768</v>
      </c>
      <c r="R5" s="6">
        <f t="shared" ref="R5:R23" si="2">$R$2+$P$2*K5</f>
        <v>135.31240987228017</v>
      </c>
      <c r="S5" s="6">
        <f t="shared" ref="S5:S19" si="3">R5*P5</f>
        <v>153.70862601450906</v>
      </c>
      <c r="V5" s="46" t="s">
        <v>28</v>
      </c>
      <c r="W5" s="46">
        <v>2017</v>
      </c>
      <c r="X5" s="8">
        <v>2018</v>
      </c>
      <c r="Y5" s="8">
        <v>2019</v>
      </c>
      <c r="Z5" s="54">
        <v>2020</v>
      </c>
    </row>
    <row r="6" spans="1:27" x14ac:dyDescent="0.25">
      <c r="A6" s="93"/>
      <c r="B6" s="93" t="s">
        <v>68</v>
      </c>
      <c r="C6" s="94">
        <v>150</v>
      </c>
      <c r="E6" s="93"/>
      <c r="F6" s="93" t="s">
        <v>68</v>
      </c>
      <c r="G6" s="94">
        <v>201</v>
      </c>
      <c r="I6" s="95"/>
      <c r="J6" s="95">
        <v>3</v>
      </c>
      <c r="K6" s="95">
        <v>3</v>
      </c>
      <c r="L6" s="94">
        <v>150</v>
      </c>
      <c r="M6" s="6">
        <f t="shared" si="0"/>
        <v>143</v>
      </c>
      <c r="N6" s="6">
        <f>AVERAGE(M5:M6)</f>
        <v>140.25</v>
      </c>
      <c r="O6" s="19">
        <f>L6/N6</f>
        <v>1.0695187165775402</v>
      </c>
      <c r="P6" s="99">
        <f>W26</f>
        <v>1.0856291542923777</v>
      </c>
      <c r="Q6" s="6">
        <f t="shared" si="1"/>
        <v>138.16872861872548</v>
      </c>
      <c r="R6" s="6">
        <f t="shared" si="2"/>
        <v>140.154588561081</v>
      </c>
      <c r="S6" s="6">
        <f t="shared" si="3"/>
        <v>152.15590744976251</v>
      </c>
      <c r="T6" s="27"/>
      <c r="V6" s="32">
        <v>1</v>
      </c>
      <c r="W6" s="32"/>
      <c r="X6" s="53">
        <f>O8</f>
        <v>0.80661157024793384</v>
      </c>
      <c r="Y6" s="53">
        <f>O12</f>
        <v>0.82395909422936453</v>
      </c>
      <c r="Z6" s="31">
        <f>O16</f>
        <v>0.81135902636916835</v>
      </c>
    </row>
    <row r="7" spans="1:27" x14ac:dyDescent="0.25">
      <c r="A7" s="93"/>
      <c r="B7" s="93" t="s">
        <v>67</v>
      </c>
      <c r="C7" s="94">
        <v>140</v>
      </c>
      <c r="E7" s="93"/>
      <c r="F7" s="93" t="s">
        <v>67</v>
      </c>
      <c r="G7" s="94">
        <v>179</v>
      </c>
      <c r="I7" s="95"/>
      <c r="J7" s="95">
        <v>4</v>
      </c>
      <c r="K7" s="95">
        <v>4</v>
      </c>
      <c r="L7" s="94">
        <v>140</v>
      </c>
      <c r="M7" s="6">
        <f t="shared" si="0"/>
        <v>150</v>
      </c>
      <c r="N7" s="6">
        <f t="shared" ref="N7:N19" si="4">AVERAGE(M6:M7)</f>
        <v>146.5</v>
      </c>
      <c r="O7" s="19">
        <f t="shared" ref="O7:O19" si="5">L7/N7</f>
        <v>0.95563139931740615</v>
      </c>
      <c r="P7" s="100">
        <f>W27</f>
        <v>0.96458499362461347</v>
      </c>
      <c r="Q7" s="6">
        <f t="shared" si="1"/>
        <v>145.14013894610065</v>
      </c>
      <c r="R7" s="6">
        <f t="shared" si="2"/>
        <v>144.9967672498818</v>
      </c>
      <c r="S7" s="6">
        <f t="shared" si="3"/>
        <v>139.8617058133168</v>
      </c>
      <c r="T7" s="27"/>
      <c r="V7" s="46">
        <v>2</v>
      </c>
      <c r="W7" s="46"/>
      <c r="X7" s="24">
        <f>O9</f>
        <v>1.2138821630347054</v>
      </c>
      <c r="Y7" s="24">
        <f>O13</f>
        <v>1.1412587412587412</v>
      </c>
      <c r="Z7" s="51">
        <f>O17</f>
        <v>1.0533245556287032</v>
      </c>
    </row>
    <row r="8" spans="1:27" x14ac:dyDescent="0.25">
      <c r="A8" s="93">
        <v>2018</v>
      </c>
      <c r="B8" s="93" t="s">
        <v>70</v>
      </c>
      <c r="C8" s="94">
        <v>122</v>
      </c>
      <c r="E8" s="93">
        <v>2020</v>
      </c>
      <c r="F8" s="93" t="s">
        <v>70</v>
      </c>
      <c r="G8" s="94">
        <v>150</v>
      </c>
      <c r="I8" s="95">
        <v>2018</v>
      </c>
      <c r="J8" s="95">
        <v>1</v>
      </c>
      <c r="K8" s="95">
        <v>5</v>
      </c>
      <c r="L8" s="94">
        <v>122</v>
      </c>
      <c r="M8" s="6">
        <f t="shared" si="0"/>
        <v>152.5</v>
      </c>
      <c r="N8" s="6">
        <f t="shared" si="4"/>
        <v>151.25</v>
      </c>
      <c r="O8" s="19">
        <f t="shared" si="5"/>
        <v>0.80661157024793384</v>
      </c>
      <c r="P8" s="97">
        <f>W24</f>
        <v>0.81383220112377386</v>
      </c>
      <c r="Q8" s="6">
        <f t="shared" si="1"/>
        <v>149.90805209174232</v>
      </c>
      <c r="R8" s="6">
        <f t="shared" si="2"/>
        <v>149.83894593868263</v>
      </c>
      <c r="S8" s="6">
        <f t="shared" si="3"/>
        <v>121.94375918734424</v>
      </c>
      <c r="T8" s="27"/>
      <c r="V8" s="46">
        <v>3</v>
      </c>
      <c r="W8" s="52">
        <f>O6</f>
        <v>1.0695187165775402</v>
      </c>
      <c r="X8" s="24">
        <f>O10</f>
        <v>1.0023492560689116</v>
      </c>
      <c r="Y8" s="24">
        <f>O14</f>
        <v>1.1021247429746401</v>
      </c>
      <c r="Z8" s="51">
        <f>O18</f>
        <v>1.1022964509394573</v>
      </c>
    </row>
    <row r="9" spans="1:27" x14ac:dyDescent="0.25">
      <c r="A9" s="93"/>
      <c r="B9" s="93" t="s">
        <v>69</v>
      </c>
      <c r="C9" s="94">
        <v>188</v>
      </c>
      <c r="E9" s="93"/>
      <c r="F9" s="93" t="s">
        <v>69</v>
      </c>
      <c r="G9" s="94">
        <v>200</v>
      </c>
      <c r="I9" s="95"/>
      <c r="J9" s="95">
        <v>2</v>
      </c>
      <c r="K9" s="95">
        <v>6</v>
      </c>
      <c r="L9" s="94">
        <v>188</v>
      </c>
      <c r="M9" s="6">
        <f t="shared" si="0"/>
        <v>157.25</v>
      </c>
      <c r="N9" s="6">
        <f t="shared" si="4"/>
        <v>154.875</v>
      </c>
      <c r="O9" s="19">
        <f t="shared" si="5"/>
        <v>1.2138821630347054</v>
      </c>
      <c r="P9" s="98">
        <f>W25</f>
        <v>1.1359536509592347</v>
      </c>
      <c r="Q9" s="6">
        <f t="shared" si="1"/>
        <v>165.49971016973001</v>
      </c>
      <c r="R9" s="6">
        <f t="shared" si="2"/>
        <v>154.68112462748343</v>
      </c>
      <c r="S9" s="6">
        <f t="shared" si="3"/>
        <v>175.71058825507021</v>
      </c>
      <c r="T9" s="27"/>
      <c r="V9" s="30">
        <v>4</v>
      </c>
      <c r="W9" s="50">
        <f>O7</f>
        <v>0.95563139931740615</v>
      </c>
      <c r="X9" s="49">
        <f>O11</f>
        <v>0.96951219512195119</v>
      </c>
      <c r="Y9" s="49">
        <f>O15</f>
        <v>0.97814207650273222</v>
      </c>
      <c r="Z9" s="48">
        <f>O19</f>
        <v>0.96000000000000008</v>
      </c>
    </row>
    <row r="10" spans="1:27" x14ac:dyDescent="0.25">
      <c r="A10" s="93"/>
      <c r="B10" s="93" t="s">
        <v>68</v>
      </c>
      <c r="C10" s="94">
        <v>160</v>
      </c>
      <c r="E10" s="93"/>
      <c r="F10" s="93" t="s">
        <v>68</v>
      </c>
      <c r="G10" s="94">
        <v>220</v>
      </c>
      <c r="I10" s="95"/>
      <c r="J10" s="95">
        <v>3</v>
      </c>
      <c r="K10" s="95">
        <v>7</v>
      </c>
      <c r="L10" s="94">
        <v>160</v>
      </c>
      <c r="M10" s="6">
        <f t="shared" si="0"/>
        <v>162</v>
      </c>
      <c r="N10" s="6">
        <f t="shared" si="4"/>
        <v>159.625</v>
      </c>
      <c r="O10" s="19">
        <f t="shared" si="5"/>
        <v>1.0023492560689116</v>
      </c>
      <c r="P10" s="99">
        <f>W26</f>
        <v>1.0856291542923777</v>
      </c>
      <c r="Q10" s="6">
        <f t="shared" si="1"/>
        <v>147.37997719330718</v>
      </c>
      <c r="R10" s="6">
        <f t="shared" si="2"/>
        <v>159.52330331628426</v>
      </c>
      <c r="S10" s="6">
        <f t="shared" si="3"/>
        <v>173.18314886918412</v>
      </c>
      <c r="T10" s="27"/>
    </row>
    <row r="11" spans="1:27" x14ac:dyDescent="0.25">
      <c r="A11" s="93"/>
      <c r="B11" s="93" t="s">
        <v>67</v>
      </c>
      <c r="C11" s="94">
        <v>159</v>
      </c>
      <c r="E11" s="93"/>
      <c r="F11" s="93" t="s">
        <v>67</v>
      </c>
      <c r="G11" s="94">
        <v>200</v>
      </c>
      <c r="I11" s="95"/>
      <c r="J11" s="95">
        <v>4</v>
      </c>
      <c r="K11" s="95">
        <v>8</v>
      </c>
      <c r="L11" s="94">
        <v>159</v>
      </c>
      <c r="M11" s="6">
        <f t="shared" si="0"/>
        <v>166</v>
      </c>
      <c r="N11" s="6">
        <f t="shared" si="4"/>
        <v>164</v>
      </c>
      <c r="O11" s="19">
        <f t="shared" si="5"/>
        <v>0.96951219512195119</v>
      </c>
      <c r="P11" s="100">
        <f>W27</f>
        <v>0.96458499362461347</v>
      </c>
      <c r="Q11" s="6">
        <f t="shared" si="1"/>
        <v>164.83772923164287</v>
      </c>
      <c r="R11" s="6">
        <f t="shared" si="2"/>
        <v>164.36548200508508</v>
      </c>
      <c r="S11" s="6">
        <f t="shared" si="3"/>
        <v>158.54447741198152</v>
      </c>
      <c r="T11" s="27"/>
    </row>
    <row r="12" spans="1:27" x14ac:dyDescent="0.25">
      <c r="A12" s="22"/>
      <c r="B12" s="22"/>
      <c r="C12" s="22"/>
      <c r="I12" s="95">
        <v>2019</v>
      </c>
      <c r="J12" s="95">
        <v>1</v>
      </c>
      <c r="K12" s="95">
        <v>9</v>
      </c>
      <c r="L12" s="94">
        <v>141</v>
      </c>
      <c r="M12" s="6">
        <f t="shared" si="0"/>
        <v>176.25</v>
      </c>
      <c r="N12" s="6">
        <f t="shared" si="4"/>
        <v>171.125</v>
      </c>
      <c r="O12" s="19">
        <f t="shared" si="5"/>
        <v>0.82395909422936453</v>
      </c>
      <c r="P12" s="97">
        <f>W24</f>
        <v>0.81383220112377386</v>
      </c>
      <c r="Q12" s="6">
        <f t="shared" si="1"/>
        <v>173.25438807324318</v>
      </c>
      <c r="R12" s="6">
        <f t="shared" si="2"/>
        <v>169.20766069388588</v>
      </c>
      <c r="S12" s="6">
        <f t="shared" si="3"/>
        <v>137.70664294950981</v>
      </c>
      <c r="T12" s="27"/>
      <c r="V12" s="7" t="s">
        <v>66</v>
      </c>
    </row>
    <row r="13" spans="1:27" x14ac:dyDescent="0.25">
      <c r="I13" s="95"/>
      <c r="J13" s="95">
        <v>2</v>
      </c>
      <c r="K13" s="95">
        <v>10</v>
      </c>
      <c r="L13" s="94">
        <v>204</v>
      </c>
      <c r="M13" s="6">
        <f t="shared" si="0"/>
        <v>181.25</v>
      </c>
      <c r="N13" s="6">
        <f t="shared" si="4"/>
        <v>178.75</v>
      </c>
      <c r="O13" s="19">
        <f t="shared" si="5"/>
        <v>1.1412587412587412</v>
      </c>
      <c r="P13" s="98">
        <f>W25</f>
        <v>1.1359536509592347</v>
      </c>
      <c r="Q13" s="6">
        <f t="shared" si="1"/>
        <v>179.58479188630278</v>
      </c>
      <c r="R13" s="6">
        <f t="shared" si="2"/>
        <v>174.04983938268671</v>
      </c>
      <c r="S13" s="6">
        <f t="shared" si="3"/>
        <v>197.71255049563138</v>
      </c>
      <c r="T13" s="27"/>
      <c r="V13" s="45"/>
      <c r="W13" s="47"/>
      <c r="X13" s="47"/>
      <c r="Y13" s="47" t="s">
        <v>1</v>
      </c>
      <c r="Z13" s="47"/>
      <c r="AA13" s="45" t="s">
        <v>3</v>
      </c>
    </row>
    <row r="14" spans="1:27" x14ac:dyDescent="0.25">
      <c r="I14" s="95"/>
      <c r="J14" s="95">
        <v>3</v>
      </c>
      <c r="K14" s="95">
        <v>11</v>
      </c>
      <c r="L14" s="94">
        <v>201</v>
      </c>
      <c r="M14" s="6">
        <f t="shared" si="0"/>
        <v>183.5</v>
      </c>
      <c r="N14" s="6">
        <f t="shared" si="4"/>
        <v>182.375</v>
      </c>
      <c r="O14" s="19">
        <f t="shared" si="5"/>
        <v>1.1021247429746401</v>
      </c>
      <c r="P14" s="99">
        <f>W26</f>
        <v>1.0856291542923777</v>
      </c>
      <c r="Q14" s="6">
        <f t="shared" si="1"/>
        <v>185.14609634909215</v>
      </c>
      <c r="R14" s="6">
        <f t="shared" si="2"/>
        <v>178.89201807148754</v>
      </c>
      <c r="S14" s="6">
        <f t="shared" si="3"/>
        <v>194.21039028860577</v>
      </c>
      <c r="T14" s="27"/>
      <c r="V14" s="36" t="s">
        <v>28</v>
      </c>
      <c r="W14" s="46">
        <v>2017</v>
      </c>
      <c r="X14" s="8">
        <v>2018</v>
      </c>
      <c r="Y14" s="8">
        <v>2019</v>
      </c>
      <c r="Z14" s="54">
        <v>2020</v>
      </c>
      <c r="AA14" s="36" t="s">
        <v>65</v>
      </c>
    </row>
    <row r="15" spans="1:27" x14ac:dyDescent="0.25">
      <c r="I15" s="95"/>
      <c r="J15" s="95">
        <v>4</v>
      </c>
      <c r="K15" s="95">
        <v>12</v>
      </c>
      <c r="L15" s="94">
        <v>179</v>
      </c>
      <c r="M15" s="6">
        <f t="shared" si="0"/>
        <v>182.5</v>
      </c>
      <c r="N15" s="6">
        <f t="shared" si="4"/>
        <v>183</v>
      </c>
      <c r="O15" s="19">
        <f t="shared" si="5"/>
        <v>0.97814207650273222</v>
      </c>
      <c r="P15" s="100">
        <f>W27</f>
        <v>0.96458499362461347</v>
      </c>
      <c r="Q15" s="6">
        <f t="shared" si="1"/>
        <v>185.57203479537154</v>
      </c>
      <c r="R15" s="6">
        <f t="shared" si="2"/>
        <v>183.73419676028834</v>
      </c>
      <c r="S15" s="6">
        <f t="shared" si="3"/>
        <v>177.2272490106462</v>
      </c>
      <c r="T15" s="27"/>
      <c r="V15" s="45">
        <v>1</v>
      </c>
      <c r="W15" s="44"/>
      <c r="X15" s="43">
        <f t="shared" ref="X15:Z18" si="6">X6</f>
        <v>0.80661157024793384</v>
      </c>
      <c r="Y15" s="43">
        <f t="shared" si="6"/>
        <v>0.82395909422936453</v>
      </c>
      <c r="Z15" s="43">
        <f t="shared" si="6"/>
        <v>0.81135902636916835</v>
      </c>
      <c r="AA15" s="42">
        <f>SUM(X15:Z15)/3</f>
        <v>0.81397656361548887</v>
      </c>
    </row>
    <row r="16" spans="1:27" x14ac:dyDescent="0.25">
      <c r="I16" s="95">
        <v>2020</v>
      </c>
      <c r="J16" s="95">
        <v>1</v>
      </c>
      <c r="K16" s="95">
        <v>13</v>
      </c>
      <c r="L16" s="94">
        <v>150</v>
      </c>
      <c r="M16" s="6">
        <f t="shared" si="0"/>
        <v>187.25</v>
      </c>
      <c r="N16" s="6">
        <f t="shared" si="4"/>
        <v>184.875</v>
      </c>
      <c r="O16" s="19">
        <f t="shared" si="5"/>
        <v>0.81135902636916835</v>
      </c>
      <c r="P16" s="97">
        <f>W24</f>
        <v>0.81383220112377386</v>
      </c>
      <c r="Q16" s="6">
        <f t="shared" si="1"/>
        <v>184.31317880132252</v>
      </c>
      <c r="R16" s="6">
        <f t="shared" si="2"/>
        <v>188.57637544908917</v>
      </c>
      <c r="S16" s="6">
        <f t="shared" si="3"/>
        <v>153.46952671167543</v>
      </c>
      <c r="T16" s="27"/>
      <c r="V16" s="40">
        <v>2</v>
      </c>
      <c r="W16" s="41"/>
      <c r="X16" s="39">
        <f t="shared" si="6"/>
        <v>1.2138821630347054</v>
      </c>
      <c r="Y16" s="39">
        <f t="shared" si="6"/>
        <v>1.1412587412587412</v>
      </c>
      <c r="Z16" s="39">
        <f t="shared" si="6"/>
        <v>1.0533245556287032</v>
      </c>
      <c r="AA16" s="37">
        <f>SUM(X16:Z16)/3</f>
        <v>1.1361551533073833</v>
      </c>
    </row>
    <row r="17" spans="9:27" x14ac:dyDescent="0.25">
      <c r="I17" s="95"/>
      <c r="J17" s="95">
        <v>2</v>
      </c>
      <c r="K17" s="95">
        <v>14</v>
      </c>
      <c r="L17" s="94">
        <v>200</v>
      </c>
      <c r="M17" s="6">
        <f t="shared" si="0"/>
        <v>192.5</v>
      </c>
      <c r="N17" s="6">
        <f t="shared" si="4"/>
        <v>189.875</v>
      </c>
      <c r="O17" s="19">
        <f t="shared" si="5"/>
        <v>1.0533245556287032</v>
      </c>
      <c r="P17" s="98">
        <f>W25</f>
        <v>1.1359536509592347</v>
      </c>
      <c r="Q17" s="6">
        <f t="shared" si="1"/>
        <v>176.0635214571596</v>
      </c>
      <c r="R17" s="6">
        <f t="shared" si="2"/>
        <v>193.41855413789</v>
      </c>
      <c r="S17" s="6">
        <f t="shared" si="3"/>
        <v>219.71451273619255</v>
      </c>
      <c r="T17" s="27"/>
      <c r="V17" s="40">
        <v>3</v>
      </c>
      <c r="W17" s="39">
        <f>W8</f>
        <v>1.0695187165775402</v>
      </c>
      <c r="X17" s="38">
        <f t="shared" si="6"/>
        <v>1.0023492560689116</v>
      </c>
      <c r="Y17" s="39">
        <f t="shared" si="6"/>
        <v>1.1021247429746401</v>
      </c>
      <c r="Z17" s="38">
        <f t="shared" si="6"/>
        <v>1.1022964509394573</v>
      </c>
      <c r="AA17" s="37">
        <f>(W17+Y17)/2</f>
        <v>1.0858217297760901</v>
      </c>
    </row>
    <row r="18" spans="9:27" x14ac:dyDescent="0.25">
      <c r="I18" s="95"/>
      <c r="J18" s="95">
        <v>3</v>
      </c>
      <c r="K18" s="95">
        <v>15</v>
      </c>
      <c r="L18" s="94">
        <v>220</v>
      </c>
      <c r="M18" s="6">
        <f>AVERAGE(L17:L19)</f>
        <v>206.66666666666666</v>
      </c>
      <c r="N18" s="6">
        <f t="shared" si="4"/>
        <v>199.58333333333331</v>
      </c>
      <c r="O18" s="19">
        <f t="shared" si="5"/>
        <v>1.1022964509394573</v>
      </c>
      <c r="P18" s="99">
        <f>W26</f>
        <v>1.0856291542923777</v>
      </c>
      <c r="Q18" s="6">
        <f t="shared" si="1"/>
        <v>202.6474686407974</v>
      </c>
      <c r="R18" s="6">
        <f t="shared" si="2"/>
        <v>198.2607328266908</v>
      </c>
      <c r="S18" s="6">
        <f t="shared" si="3"/>
        <v>215.23763170802738</v>
      </c>
      <c r="T18" s="27"/>
      <c r="V18" s="36">
        <v>4</v>
      </c>
      <c r="W18" s="35">
        <f>W9</f>
        <v>0.95563139931740615</v>
      </c>
      <c r="X18" s="34">
        <f t="shared" si="6"/>
        <v>0.96951219512195119</v>
      </c>
      <c r="Y18" s="35">
        <f t="shared" si="6"/>
        <v>0.97814207650273222</v>
      </c>
      <c r="Z18" s="34">
        <f t="shared" si="6"/>
        <v>0.96000000000000008</v>
      </c>
      <c r="AA18" s="33">
        <f>(X18+Z18)/2</f>
        <v>0.96475609756097569</v>
      </c>
    </row>
    <row r="19" spans="9:27" x14ac:dyDescent="0.25">
      <c r="I19" s="95"/>
      <c r="J19" s="95">
        <v>4</v>
      </c>
      <c r="K19" s="95">
        <v>16</v>
      </c>
      <c r="L19" s="94">
        <v>200</v>
      </c>
      <c r="M19" s="6">
        <f>AVERAGE(L18:L19)</f>
        <v>210</v>
      </c>
      <c r="N19" s="6">
        <f t="shared" si="4"/>
        <v>208.33333333333331</v>
      </c>
      <c r="O19" s="19">
        <f t="shared" si="5"/>
        <v>0.96000000000000008</v>
      </c>
      <c r="P19" s="100">
        <f>W27</f>
        <v>0.96458499362461347</v>
      </c>
      <c r="Q19" s="6">
        <f t="shared" si="1"/>
        <v>207.34305563728662</v>
      </c>
      <c r="R19" s="6">
        <f t="shared" si="2"/>
        <v>203.1029115154916</v>
      </c>
      <c r="S19" s="6">
        <f t="shared" si="3"/>
        <v>195.91002060931089</v>
      </c>
      <c r="T19" s="27"/>
      <c r="Z19" s="32" t="s">
        <v>59</v>
      </c>
      <c r="AA19" s="31">
        <f>SUM(AA15:AA18)</f>
        <v>4.0007095442599381</v>
      </c>
    </row>
    <row r="20" spans="9:27" x14ac:dyDescent="0.25">
      <c r="I20" s="96">
        <v>2021</v>
      </c>
      <c r="J20" s="96">
        <v>1</v>
      </c>
      <c r="K20" s="96">
        <v>17</v>
      </c>
      <c r="R20" s="101">
        <f t="shared" si="2"/>
        <v>207.94509020429243</v>
      </c>
      <c r="S20" s="101">
        <f>R20*W24</f>
        <v>169.23241047384101</v>
      </c>
      <c r="T20" s="27"/>
      <c r="Z20" s="30" t="s">
        <v>58</v>
      </c>
      <c r="AA20" s="29">
        <f>4/AA19</f>
        <v>0.9998226453952509</v>
      </c>
    </row>
    <row r="21" spans="9:27" x14ac:dyDescent="0.25">
      <c r="I21" s="96"/>
      <c r="J21" s="96">
        <v>2</v>
      </c>
      <c r="K21" s="96">
        <v>18</v>
      </c>
      <c r="R21" s="101">
        <f t="shared" si="2"/>
        <v>212.78726889309326</v>
      </c>
      <c r="S21" s="101">
        <f>R21*W25</f>
        <v>241.71647497675369</v>
      </c>
      <c r="T21" s="27"/>
    </row>
    <row r="22" spans="9:27" x14ac:dyDescent="0.25">
      <c r="I22" s="96"/>
      <c r="J22" s="96">
        <v>3</v>
      </c>
      <c r="K22" s="96">
        <v>19</v>
      </c>
      <c r="R22" s="101">
        <f t="shared" si="2"/>
        <v>217.62944758189406</v>
      </c>
      <c r="S22" s="101">
        <f>R22*W26</f>
        <v>236.26487312744899</v>
      </c>
      <c r="V22" s="7" t="s">
        <v>64</v>
      </c>
    </row>
    <row r="23" spans="9:27" x14ac:dyDescent="0.25">
      <c r="I23" s="96"/>
      <c r="J23" s="96">
        <v>4</v>
      </c>
      <c r="K23" s="96">
        <v>20</v>
      </c>
      <c r="R23" s="101">
        <f t="shared" si="2"/>
        <v>222.47162627069488</v>
      </c>
      <c r="S23" s="101">
        <f>R23*W27</f>
        <v>214.59279220797561</v>
      </c>
      <c r="V23" s="7" t="s">
        <v>28</v>
      </c>
    </row>
    <row r="24" spans="9:27" x14ac:dyDescent="0.25">
      <c r="J24" s="21"/>
      <c r="K24" s="21"/>
      <c r="V24" s="95">
        <v>1</v>
      </c>
      <c r="W24" s="97">
        <f>AA15*$AA$20</f>
        <v>0.81383220112377386</v>
      </c>
    </row>
    <row r="25" spans="9:27" x14ac:dyDescent="0.25">
      <c r="V25" s="95">
        <v>2</v>
      </c>
      <c r="W25" s="98">
        <f>AA16*$AA$20</f>
        <v>1.1359536509592347</v>
      </c>
    </row>
    <row r="26" spans="9:27" x14ac:dyDescent="0.25">
      <c r="V26" s="95">
        <v>3</v>
      </c>
      <c r="W26" s="99">
        <f>AA17*$AA$20</f>
        <v>1.0856291542923777</v>
      </c>
    </row>
    <row r="27" spans="9:27" x14ac:dyDescent="0.25">
      <c r="V27" s="95">
        <v>4</v>
      </c>
      <c r="W27" s="100">
        <f>AA18*$AA$20</f>
        <v>0.96458499362461347</v>
      </c>
    </row>
  </sheetData>
  <pageMargins left="0.7" right="0.7" top="0.75" bottom="0.75" header="0.3" footer="0.3"/>
  <pageSetup paperSize="9" orientation="portrait" r:id="rId1"/>
  <ignoredErrors>
    <ignoredError sqref="P2 R2 M5:M19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EFD04-D62B-4197-8355-CD810DAC3507}">
  <dimension ref="A1:AE27"/>
  <sheetViews>
    <sheetView workbookViewId="0">
      <selection activeCell="A2" sqref="A2"/>
    </sheetView>
  </sheetViews>
  <sheetFormatPr defaultColWidth="8.85546875" defaultRowHeight="15" x14ac:dyDescent="0.25"/>
  <cols>
    <col min="1" max="3" width="8.85546875" style="7"/>
    <col min="4" max="4" width="5.140625" style="7" customWidth="1"/>
    <col min="5" max="7" width="8.85546875" style="7"/>
    <col min="8" max="8" width="4.140625" style="7" customWidth="1"/>
    <col min="9" max="12" width="8.85546875" style="7"/>
    <col min="13" max="13" width="19.28515625" style="7" customWidth="1"/>
    <col min="14" max="14" width="17.28515625" style="7" customWidth="1"/>
    <col min="15" max="15" width="12" style="7" customWidth="1"/>
    <col min="16" max="16" width="8.85546875" style="7"/>
    <col min="17" max="17" width="15.85546875" style="7" customWidth="1"/>
    <col min="18" max="18" width="19.85546875" style="7" customWidth="1"/>
    <col min="19" max="22" width="13.28515625" style="7" customWidth="1"/>
    <col min="23" max="23" width="10.42578125" style="7" customWidth="1"/>
    <col min="24" max="24" width="10.140625" style="7" customWidth="1"/>
    <col min="25" max="25" width="4.85546875" style="7" customWidth="1"/>
    <col min="26" max="26" width="8.7109375" style="7" customWidth="1"/>
    <col min="27" max="27" width="12.42578125" style="7" customWidth="1"/>
    <col min="28" max="30" width="8.85546875" style="7"/>
    <col min="31" max="31" width="10.7109375" style="7" customWidth="1"/>
    <col min="32" max="32" width="9.5703125" style="7" bestFit="1" customWidth="1"/>
    <col min="33" max="16384" width="8.85546875" style="7"/>
  </cols>
  <sheetData>
    <row r="1" spans="1:31" x14ac:dyDescent="0.25">
      <c r="A1" s="14" t="s">
        <v>168</v>
      </c>
    </row>
    <row r="2" spans="1:31" x14ac:dyDescent="0.25">
      <c r="P2" s="103">
        <f>SLOPE(Q4:Q19,K4:K19)</f>
        <v>4.8421786888008169</v>
      </c>
      <c r="Q2" s="104" t="s">
        <v>63</v>
      </c>
      <c r="R2" s="103">
        <f>INTERCEPT(Q4:Q19,K4:K19)</f>
        <v>125.62805249467854</v>
      </c>
      <c r="S2" s="104" t="s">
        <v>62</v>
      </c>
      <c r="T2" s="119"/>
      <c r="U2" s="119"/>
      <c r="V2" s="119"/>
      <c r="W2" s="119"/>
    </row>
    <row r="3" spans="1:31" x14ac:dyDescent="0.25">
      <c r="A3" s="92" t="s">
        <v>1</v>
      </c>
      <c r="B3" s="92" t="s">
        <v>79</v>
      </c>
      <c r="C3" s="92" t="s">
        <v>61</v>
      </c>
      <c r="E3" s="92" t="s">
        <v>1</v>
      </c>
      <c r="F3" s="92" t="s">
        <v>79</v>
      </c>
      <c r="G3" s="92" t="s">
        <v>61</v>
      </c>
      <c r="I3" s="102" t="s">
        <v>1</v>
      </c>
      <c r="J3" s="102" t="s">
        <v>28</v>
      </c>
      <c r="K3" s="102" t="s">
        <v>27</v>
      </c>
      <c r="L3" s="102" t="s">
        <v>78</v>
      </c>
      <c r="M3" s="102" t="s">
        <v>77</v>
      </c>
      <c r="N3" s="102" t="s">
        <v>76</v>
      </c>
      <c r="O3" s="102" t="s">
        <v>75</v>
      </c>
      <c r="P3" s="102" t="s">
        <v>74</v>
      </c>
      <c r="Q3" s="102" t="s">
        <v>73</v>
      </c>
      <c r="R3" s="102" t="s">
        <v>72</v>
      </c>
      <c r="S3" s="102" t="s">
        <v>60</v>
      </c>
      <c r="T3" s="63"/>
      <c r="U3" s="63"/>
      <c r="V3" s="63"/>
      <c r="W3" s="102" t="s">
        <v>29</v>
      </c>
      <c r="X3" s="102" t="s">
        <v>30</v>
      </c>
      <c r="Z3" s="7" t="s">
        <v>71</v>
      </c>
    </row>
    <row r="4" spans="1:31" x14ac:dyDescent="0.25">
      <c r="A4" s="93">
        <v>2017</v>
      </c>
      <c r="B4" s="93" t="s">
        <v>70</v>
      </c>
      <c r="C4" s="94">
        <v>100</v>
      </c>
      <c r="E4" s="93">
        <v>2019</v>
      </c>
      <c r="F4" s="93" t="s">
        <v>70</v>
      </c>
      <c r="G4" s="94">
        <v>141</v>
      </c>
      <c r="I4" s="95">
        <v>2017</v>
      </c>
      <c r="J4" s="95">
        <v>1</v>
      </c>
      <c r="K4" s="95">
        <v>1</v>
      </c>
      <c r="L4" s="94">
        <v>100</v>
      </c>
      <c r="M4" s="95"/>
      <c r="N4" s="95"/>
      <c r="O4" s="95"/>
      <c r="P4" s="97">
        <f>AA24</f>
        <v>0.81383220112377386</v>
      </c>
      <c r="Q4" s="6">
        <f>L4/P4</f>
        <v>122.87545253421501</v>
      </c>
      <c r="R4" s="6">
        <f>$R$2+$P$2*K4</f>
        <v>130.47023118347937</v>
      </c>
      <c r="S4" s="6">
        <f>R4*P4</f>
        <v>106.18087542517866</v>
      </c>
      <c r="T4" s="6">
        <f>SQRT(SUMXMY2(L4:L19,S4:S19)/COUNT(L4:L19))</f>
        <v>7.6942136054069934</v>
      </c>
      <c r="U4" s="120" t="s">
        <v>145</v>
      </c>
      <c r="V4" s="9"/>
      <c r="W4" s="6">
        <f>S4-$T$5*$T$4</f>
        <v>89.869871229736091</v>
      </c>
      <c r="X4" s="6">
        <f>S4+$T$5*$T$4</f>
        <v>122.49187962062122</v>
      </c>
      <c r="Z4" s="32"/>
      <c r="AA4" s="32"/>
      <c r="AB4" s="47"/>
      <c r="AC4" s="47" t="s">
        <v>1</v>
      </c>
      <c r="AD4" s="55"/>
    </row>
    <row r="5" spans="1:31" x14ac:dyDescent="0.25">
      <c r="A5" s="93"/>
      <c r="B5" s="93" t="s">
        <v>69</v>
      </c>
      <c r="C5" s="94">
        <v>160</v>
      </c>
      <c r="E5" s="93"/>
      <c r="F5" s="93" t="s">
        <v>69</v>
      </c>
      <c r="G5" s="94">
        <v>204</v>
      </c>
      <c r="I5" s="95"/>
      <c r="J5" s="95">
        <v>2</v>
      </c>
      <c r="K5" s="95">
        <v>2</v>
      </c>
      <c r="L5" s="94">
        <v>160</v>
      </c>
      <c r="M5" s="6">
        <f t="shared" ref="M5:M17" si="0">AVERAGE(L4:L7)</f>
        <v>137.5</v>
      </c>
      <c r="N5" s="95"/>
      <c r="O5" s="95"/>
      <c r="P5" s="98">
        <f>AA25</f>
        <v>1.1359536509592347</v>
      </c>
      <c r="Q5" s="6">
        <f t="shared" ref="Q5:Q19" si="1">L5/P5</f>
        <v>140.85081716572768</v>
      </c>
      <c r="R5" s="6">
        <f t="shared" ref="R5:R23" si="2">$R$2+$P$2*K5</f>
        <v>135.31240987228017</v>
      </c>
      <c r="S5" s="6">
        <f t="shared" ref="S5:S19" si="3">R5*P5</f>
        <v>153.70862601450906</v>
      </c>
      <c r="T5" s="6">
        <f>_xlfn.T.INV.2T(0.05,COUNT(L4:L19))</f>
        <v>2.119905299221255</v>
      </c>
      <c r="U5" s="6" t="s">
        <v>146</v>
      </c>
      <c r="V5" s="9"/>
      <c r="W5" s="6">
        <f t="shared" ref="W5:W18" si="4">S5-$T$5*$T$4</f>
        <v>137.3976218190665</v>
      </c>
      <c r="X5" s="6">
        <f t="shared" ref="X5:X18" si="5">S5+$T$5*$T$4</f>
        <v>170.01963020995163</v>
      </c>
      <c r="Z5" s="46" t="s">
        <v>28</v>
      </c>
      <c r="AA5" s="46">
        <v>2017</v>
      </c>
      <c r="AB5" s="8">
        <v>2018</v>
      </c>
      <c r="AC5" s="8">
        <v>2019</v>
      </c>
      <c r="AD5" s="54">
        <v>2020</v>
      </c>
    </row>
    <row r="6" spans="1:31" x14ac:dyDescent="0.25">
      <c r="A6" s="93"/>
      <c r="B6" s="93" t="s">
        <v>68</v>
      </c>
      <c r="C6" s="94">
        <v>150</v>
      </c>
      <c r="E6" s="93"/>
      <c r="F6" s="93" t="s">
        <v>68</v>
      </c>
      <c r="G6" s="94">
        <v>201</v>
      </c>
      <c r="I6" s="95"/>
      <c r="J6" s="95">
        <v>3</v>
      </c>
      <c r="K6" s="95">
        <v>3</v>
      </c>
      <c r="L6" s="94">
        <v>150</v>
      </c>
      <c r="M6" s="6">
        <f t="shared" si="0"/>
        <v>143</v>
      </c>
      <c r="N6" s="6">
        <f>AVERAGE(M5:M6)</f>
        <v>140.25</v>
      </c>
      <c r="O6" s="19">
        <f>L6/N6</f>
        <v>1.0695187165775402</v>
      </c>
      <c r="P6" s="99">
        <f>AA26</f>
        <v>1.0856291542923777</v>
      </c>
      <c r="Q6" s="6">
        <f t="shared" si="1"/>
        <v>138.16872861872548</v>
      </c>
      <c r="R6" s="6">
        <f t="shared" si="2"/>
        <v>140.154588561081</v>
      </c>
      <c r="S6" s="6">
        <f t="shared" si="3"/>
        <v>152.15590744976251</v>
      </c>
      <c r="T6" s="9"/>
      <c r="U6" s="9"/>
      <c r="V6" s="9"/>
      <c r="W6" s="6">
        <f t="shared" si="4"/>
        <v>135.84490325431995</v>
      </c>
      <c r="X6" s="6">
        <f t="shared" si="5"/>
        <v>168.46691164520507</v>
      </c>
      <c r="Z6" s="32">
        <v>1</v>
      </c>
      <c r="AA6" s="32"/>
      <c r="AB6" s="53">
        <f>O8</f>
        <v>0.80661157024793384</v>
      </c>
      <c r="AC6" s="53">
        <f>O12</f>
        <v>0.82395909422936453</v>
      </c>
      <c r="AD6" s="31">
        <f>O16</f>
        <v>0.81135902636916835</v>
      </c>
    </row>
    <row r="7" spans="1:31" x14ac:dyDescent="0.25">
      <c r="A7" s="93"/>
      <c r="B7" s="93" t="s">
        <v>67</v>
      </c>
      <c r="C7" s="94">
        <v>140</v>
      </c>
      <c r="E7" s="93"/>
      <c r="F7" s="93" t="s">
        <v>67</v>
      </c>
      <c r="G7" s="94">
        <v>179</v>
      </c>
      <c r="I7" s="95"/>
      <c r="J7" s="95">
        <v>4</v>
      </c>
      <c r="K7" s="95">
        <v>4</v>
      </c>
      <c r="L7" s="94">
        <v>140</v>
      </c>
      <c r="M7" s="6">
        <f t="shared" si="0"/>
        <v>150</v>
      </c>
      <c r="N7" s="6">
        <f t="shared" ref="N7:N19" si="6">AVERAGE(M6:M7)</f>
        <v>146.5</v>
      </c>
      <c r="O7" s="19">
        <f t="shared" ref="O7:O19" si="7">L7/N7</f>
        <v>0.95563139931740615</v>
      </c>
      <c r="P7" s="100">
        <f>AA27</f>
        <v>0.96458499362461347</v>
      </c>
      <c r="Q7" s="6">
        <f t="shared" si="1"/>
        <v>145.14013894610065</v>
      </c>
      <c r="R7" s="6">
        <f t="shared" si="2"/>
        <v>144.9967672498818</v>
      </c>
      <c r="S7" s="6">
        <f t="shared" si="3"/>
        <v>139.8617058133168</v>
      </c>
      <c r="T7" s="9"/>
      <c r="U7" s="9"/>
      <c r="V7" s="9"/>
      <c r="W7" s="6">
        <f t="shared" si="4"/>
        <v>123.55070161787424</v>
      </c>
      <c r="X7" s="6">
        <f t="shared" si="5"/>
        <v>156.17271000875937</v>
      </c>
      <c r="Z7" s="46">
        <v>2</v>
      </c>
      <c r="AA7" s="46"/>
      <c r="AB7" s="24">
        <f>O9</f>
        <v>1.2138821630347054</v>
      </c>
      <c r="AC7" s="24">
        <f>O13</f>
        <v>1.1412587412587412</v>
      </c>
      <c r="AD7" s="51">
        <f>O17</f>
        <v>1.0533245556287032</v>
      </c>
    </row>
    <row r="8" spans="1:31" x14ac:dyDescent="0.25">
      <c r="A8" s="93">
        <v>2018</v>
      </c>
      <c r="B8" s="93" t="s">
        <v>70</v>
      </c>
      <c r="C8" s="94">
        <v>122</v>
      </c>
      <c r="E8" s="93">
        <v>2020</v>
      </c>
      <c r="F8" s="93" t="s">
        <v>70</v>
      </c>
      <c r="G8" s="94">
        <v>150</v>
      </c>
      <c r="I8" s="95">
        <v>2018</v>
      </c>
      <c r="J8" s="95">
        <v>1</v>
      </c>
      <c r="K8" s="95">
        <v>5</v>
      </c>
      <c r="L8" s="94">
        <v>122</v>
      </c>
      <c r="M8" s="6">
        <f t="shared" si="0"/>
        <v>152.5</v>
      </c>
      <c r="N8" s="6">
        <f t="shared" si="6"/>
        <v>151.25</v>
      </c>
      <c r="O8" s="19">
        <f t="shared" si="7"/>
        <v>0.80661157024793384</v>
      </c>
      <c r="P8" s="97">
        <f>AA24</f>
        <v>0.81383220112377386</v>
      </c>
      <c r="Q8" s="6">
        <f t="shared" si="1"/>
        <v>149.90805209174232</v>
      </c>
      <c r="R8" s="6">
        <f t="shared" si="2"/>
        <v>149.83894593868263</v>
      </c>
      <c r="S8" s="6">
        <f t="shared" si="3"/>
        <v>121.94375918734424</v>
      </c>
      <c r="T8" s="9"/>
      <c r="U8" s="9"/>
      <c r="V8" s="9"/>
      <c r="W8" s="6">
        <f t="shared" si="4"/>
        <v>105.63275499190168</v>
      </c>
      <c r="X8" s="6">
        <f t="shared" si="5"/>
        <v>138.25476338278679</v>
      </c>
      <c r="Z8" s="46">
        <v>3</v>
      </c>
      <c r="AA8" s="52">
        <f>O6</f>
        <v>1.0695187165775402</v>
      </c>
      <c r="AB8" s="24">
        <f>O10</f>
        <v>1.0023492560689116</v>
      </c>
      <c r="AC8" s="24">
        <f>O14</f>
        <v>1.1021247429746401</v>
      </c>
      <c r="AD8" s="51">
        <f>O18</f>
        <v>1.1022964509394573</v>
      </c>
    </row>
    <row r="9" spans="1:31" x14ac:dyDescent="0.25">
      <c r="A9" s="93"/>
      <c r="B9" s="93" t="s">
        <v>69</v>
      </c>
      <c r="C9" s="94">
        <v>188</v>
      </c>
      <c r="E9" s="93"/>
      <c r="F9" s="93" t="s">
        <v>69</v>
      </c>
      <c r="G9" s="94">
        <v>200</v>
      </c>
      <c r="I9" s="95"/>
      <c r="J9" s="95">
        <v>2</v>
      </c>
      <c r="K9" s="95">
        <v>6</v>
      </c>
      <c r="L9" s="94">
        <v>188</v>
      </c>
      <c r="M9" s="6">
        <f t="shared" si="0"/>
        <v>157.25</v>
      </c>
      <c r="N9" s="6">
        <f t="shared" si="6"/>
        <v>154.875</v>
      </c>
      <c r="O9" s="19">
        <f t="shared" si="7"/>
        <v>1.2138821630347054</v>
      </c>
      <c r="P9" s="98">
        <f>AA25</f>
        <v>1.1359536509592347</v>
      </c>
      <c r="Q9" s="6">
        <f t="shared" si="1"/>
        <v>165.49971016973001</v>
      </c>
      <c r="R9" s="6">
        <f t="shared" si="2"/>
        <v>154.68112462748343</v>
      </c>
      <c r="S9" s="6">
        <f t="shared" si="3"/>
        <v>175.71058825507021</v>
      </c>
      <c r="T9" s="9"/>
      <c r="U9" s="9"/>
      <c r="V9" s="9"/>
      <c r="W9" s="6">
        <f t="shared" si="4"/>
        <v>159.39958405962764</v>
      </c>
      <c r="X9" s="6">
        <f t="shared" si="5"/>
        <v>192.02159245051277</v>
      </c>
      <c r="Z9" s="30">
        <v>4</v>
      </c>
      <c r="AA9" s="50">
        <f>O7</f>
        <v>0.95563139931740615</v>
      </c>
      <c r="AB9" s="49">
        <f>O11</f>
        <v>0.96951219512195119</v>
      </c>
      <c r="AC9" s="49">
        <f>O15</f>
        <v>0.97814207650273222</v>
      </c>
      <c r="AD9" s="48">
        <f>O19</f>
        <v>0.96000000000000008</v>
      </c>
    </row>
    <row r="10" spans="1:31" x14ac:dyDescent="0.25">
      <c r="A10" s="93"/>
      <c r="B10" s="93" t="s">
        <v>68</v>
      </c>
      <c r="C10" s="94">
        <v>160</v>
      </c>
      <c r="E10" s="93"/>
      <c r="F10" s="93" t="s">
        <v>68</v>
      </c>
      <c r="G10" s="94">
        <v>220</v>
      </c>
      <c r="I10" s="95"/>
      <c r="J10" s="95">
        <v>3</v>
      </c>
      <c r="K10" s="95">
        <v>7</v>
      </c>
      <c r="L10" s="94">
        <v>160</v>
      </c>
      <c r="M10" s="6">
        <f t="shared" si="0"/>
        <v>162</v>
      </c>
      <c r="N10" s="6">
        <f t="shared" si="6"/>
        <v>159.625</v>
      </c>
      <c r="O10" s="19">
        <f t="shared" si="7"/>
        <v>1.0023492560689116</v>
      </c>
      <c r="P10" s="99">
        <f>AA26</f>
        <v>1.0856291542923777</v>
      </c>
      <c r="Q10" s="6">
        <f t="shared" si="1"/>
        <v>147.37997719330718</v>
      </c>
      <c r="R10" s="6">
        <f t="shared" si="2"/>
        <v>159.52330331628426</v>
      </c>
      <c r="S10" s="6">
        <f t="shared" si="3"/>
        <v>173.18314886918412</v>
      </c>
      <c r="T10" s="9"/>
      <c r="U10" s="9"/>
      <c r="V10" s="9"/>
      <c r="W10" s="6">
        <f t="shared" si="4"/>
        <v>156.87214467374156</v>
      </c>
      <c r="X10" s="6">
        <f t="shared" si="5"/>
        <v>189.49415306462669</v>
      </c>
    </row>
    <row r="11" spans="1:31" x14ac:dyDescent="0.25">
      <c r="A11" s="93"/>
      <c r="B11" s="93" t="s">
        <v>67</v>
      </c>
      <c r="C11" s="94">
        <v>159</v>
      </c>
      <c r="E11" s="93"/>
      <c r="F11" s="93" t="s">
        <v>67</v>
      </c>
      <c r="G11" s="94">
        <v>200</v>
      </c>
      <c r="I11" s="95"/>
      <c r="J11" s="95">
        <v>4</v>
      </c>
      <c r="K11" s="95">
        <v>8</v>
      </c>
      <c r="L11" s="94">
        <v>159</v>
      </c>
      <c r="M11" s="6">
        <f t="shared" si="0"/>
        <v>166</v>
      </c>
      <c r="N11" s="6">
        <f t="shared" si="6"/>
        <v>164</v>
      </c>
      <c r="O11" s="19">
        <f t="shared" si="7"/>
        <v>0.96951219512195119</v>
      </c>
      <c r="P11" s="100">
        <f>AA27</f>
        <v>0.96458499362461347</v>
      </c>
      <c r="Q11" s="6">
        <f t="shared" si="1"/>
        <v>164.83772923164287</v>
      </c>
      <c r="R11" s="6">
        <f t="shared" si="2"/>
        <v>164.36548200508508</v>
      </c>
      <c r="S11" s="6">
        <f t="shared" si="3"/>
        <v>158.54447741198152</v>
      </c>
      <c r="T11" s="9"/>
      <c r="U11" s="9"/>
      <c r="V11" s="9"/>
      <c r="W11" s="6">
        <f t="shared" si="4"/>
        <v>142.23347321653895</v>
      </c>
      <c r="X11" s="6">
        <f t="shared" si="5"/>
        <v>174.85548160742408</v>
      </c>
    </row>
    <row r="12" spans="1:31" x14ac:dyDescent="0.25">
      <c r="A12" s="22"/>
      <c r="B12" s="22"/>
      <c r="C12" s="22"/>
      <c r="I12" s="95">
        <v>2019</v>
      </c>
      <c r="J12" s="95">
        <v>1</v>
      </c>
      <c r="K12" s="95">
        <v>9</v>
      </c>
      <c r="L12" s="94">
        <v>141</v>
      </c>
      <c r="M12" s="6">
        <f t="shared" si="0"/>
        <v>176.25</v>
      </c>
      <c r="N12" s="6">
        <f t="shared" si="6"/>
        <v>171.125</v>
      </c>
      <c r="O12" s="19">
        <f t="shared" si="7"/>
        <v>0.82395909422936453</v>
      </c>
      <c r="P12" s="97">
        <f>AA24</f>
        <v>0.81383220112377386</v>
      </c>
      <c r="Q12" s="6">
        <f t="shared" si="1"/>
        <v>173.25438807324318</v>
      </c>
      <c r="R12" s="6">
        <f t="shared" si="2"/>
        <v>169.20766069388588</v>
      </c>
      <c r="S12" s="6">
        <f t="shared" si="3"/>
        <v>137.70664294950981</v>
      </c>
      <c r="T12" s="9"/>
      <c r="U12" s="9"/>
      <c r="V12" s="9"/>
      <c r="W12" s="6">
        <f t="shared" si="4"/>
        <v>121.39563875406725</v>
      </c>
      <c r="X12" s="6">
        <f t="shared" si="5"/>
        <v>154.01764714495238</v>
      </c>
      <c r="Z12" s="7" t="s">
        <v>66</v>
      </c>
    </row>
    <row r="13" spans="1:31" x14ac:dyDescent="0.25">
      <c r="I13" s="95"/>
      <c r="J13" s="95">
        <v>2</v>
      </c>
      <c r="K13" s="95">
        <v>10</v>
      </c>
      <c r="L13" s="94">
        <v>204</v>
      </c>
      <c r="M13" s="6">
        <f t="shared" si="0"/>
        <v>181.25</v>
      </c>
      <c r="N13" s="6">
        <f t="shared" si="6"/>
        <v>178.75</v>
      </c>
      <c r="O13" s="19">
        <f t="shared" si="7"/>
        <v>1.1412587412587412</v>
      </c>
      <c r="P13" s="98">
        <f>AA25</f>
        <v>1.1359536509592347</v>
      </c>
      <c r="Q13" s="6">
        <f t="shared" si="1"/>
        <v>179.58479188630278</v>
      </c>
      <c r="R13" s="6">
        <f t="shared" si="2"/>
        <v>174.04983938268671</v>
      </c>
      <c r="S13" s="6">
        <f t="shared" si="3"/>
        <v>197.71255049563138</v>
      </c>
      <c r="T13" s="9"/>
      <c r="U13" s="9"/>
      <c r="V13" s="9"/>
      <c r="W13" s="6">
        <f t="shared" si="4"/>
        <v>181.40154630018881</v>
      </c>
      <c r="X13" s="6">
        <f t="shared" si="5"/>
        <v>214.02355469107394</v>
      </c>
      <c r="Z13" s="45"/>
      <c r="AA13" s="47"/>
      <c r="AB13" s="47"/>
      <c r="AC13" s="47" t="s">
        <v>1</v>
      </c>
      <c r="AD13" s="47"/>
      <c r="AE13" s="45" t="s">
        <v>3</v>
      </c>
    </row>
    <row r="14" spans="1:31" x14ac:dyDescent="0.25">
      <c r="I14" s="95"/>
      <c r="J14" s="95">
        <v>3</v>
      </c>
      <c r="K14" s="95">
        <v>11</v>
      </c>
      <c r="L14" s="94">
        <v>201</v>
      </c>
      <c r="M14" s="6">
        <f t="shared" si="0"/>
        <v>183.5</v>
      </c>
      <c r="N14" s="6">
        <f t="shared" si="6"/>
        <v>182.375</v>
      </c>
      <c r="O14" s="19">
        <f t="shared" si="7"/>
        <v>1.1021247429746401</v>
      </c>
      <c r="P14" s="99">
        <f>AA26</f>
        <v>1.0856291542923777</v>
      </c>
      <c r="Q14" s="6">
        <f t="shared" si="1"/>
        <v>185.14609634909215</v>
      </c>
      <c r="R14" s="6">
        <f t="shared" si="2"/>
        <v>178.89201807148754</v>
      </c>
      <c r="S14" s="6">
        <f t="shared" si="3"/>
        <v>194.21039028860577</v>
      </c>
      <c r="T14" s="9"/>
      <c r="U14" s="9"/>
      <c r="V14" s="9"/>
      <c r="W14" s="6">
        <f t="shared" si="4"/>
        <v>177.8993860931632</v>
      </c>
      <c r="X14" s="6">
        <f t="shared" si="5"/>
        <v>210.52139448404833</v>
      </c>
      <c r="Z14" s="36" t="s">
        <v>28</v>
      </c>
      <c r="AA14" s="46">
        <v>2017</v>
      </c>
      <c r="AB14" s="8">
        <v>2018</v>
      </c>
      <c r="AC14" s="8">
        <v>2019</v>
      </c>
      <c r="AD14" s="54">
        <v>2020</v>
      </c>
      <c r="AE14" s="36" t="s">
        <v>65</v>
      </c>
    </row>
    <row r="15" spans="1:31" x14ac:dyDescent="0.25">
      <c r="I15" s="95"/>
      <c r="J15" s="95">
        <v>4</v>
      </c>
      <c r="K15" s="95">
        <v>12</v>
      </c>
      <c r="L15" s="94">
        <v>179</v>
      </c>
      <c r="M15" s="6">
        <f t="shared" si="0"/>
        <v>182.5</v>
      </c>
      <c r="N15" s="6">
        <f t="shared" si="6"/>
        <v>183</v>
      </c>
      <c r="O15" s="19">
        <f t="shared" si="7"/>
        <v>0.97814207650273222</v>
      </c>
      <c r="P15" s="100">
        <f>AA27</f>
        <v>0.96458499362461347</v>
      </c>
      <c r="Q15" s="6">
        <f t="shared" si="1"/>
        <v>185.57203479537154</v>
      </c>
      <c r="R15" s="6">
        <f t="shared" si="2"/>
        <v>183.73419676028834</v>
      </c>
      <c r="S15" s="6">
        <f t="shared" si="3"/>
        <v>177.2272490106462</v>
      </c>
      <c r="T15" s="9"/>
      <c r="U15" s="9"/>
      <c r="V15" s="9"/>
      <c r="W15" s="6">
        <f t="shared" si="4"/>
        <v>160.91624481520364</v>
      </c>
      <c r="X15" s="6">
        <f t="shared" si="5"/>
        <v>193.53825320608877</v>
      </c>
      <c r="Z15" s="45">
        <v>1</v>
      </c>
      <c r="AA15" s="44"/>
      <c r="AB15" s="43">
        <f t="shared" ref="AB15:AD18" si="8">AB6</f>
        <v>0.80661157024793384</v>
      </c>
      <c r="AC15" s="43">
        <f t="shared" si="8"/>
        <v>0.82395909422936453</v>
      </c>
      <c r="AD15" s="43">
        <f t="shared" si="8"/>
        <v>0.81135902636916835</v>
      </c>
      <c r="AE15" s="42">
        <f>SUM(AB15:AD15)/3</f>
        <v>0.81397656361548887</v>
      </c>
    </row>
    <row r="16" spans="1:31" x14ac:dyDescent="0.25">
      <c r="I16" s="95">
        <v>2020</v>
      </c>
      <c r="J16" s="95">
        <v>1</v>
      </c>
      <c r="K16" s="95">
        <v>13</v>
      </c>
      <c r="L16" s="94">
        <v>150</v>
      </c>
      <c r="M16" s="6">
        <f t="shared" si="0"/>
        <v>187.25</v>
      </c>
      <c r="N16" s="6">
        <f t="shared" si="6"/>
        <v>184.875</v>
      </c>
      <c r="O16" s="19">
        <f t="shared" si="7"/>
        <v>0.81135902636916835</v>
      </c>
      <c r="P16" s="97">
        <f>AA24</f>
        <v>0.81383220112377386</v>
      </c>
      <c r="Q16" s="6">
        <f t="shared" si="1"/>
        <v>184.31317880132252</v>
      </c>
      <c r="R16" s="6">
        <f t="shared" si="2"/>
        <v>188.57637544908917</v>
      </c>
      <c r="S16" s="6">
        <f t="shared" si="3"/>
        <v>153.46952671167543</v>
      </c>
      <c r="T16" s="9"/>
      <c r="U16" s="9"/>
      <c r="V16" s="9"/>
      <c r="W16" s="6">
        <f t="shared" si="4"/>
        <v>137.15852251623286</v>
      </c>
      <c r="X16" s="6">
        <f t="shared" si="5"/>
        <v>169.78053090711799</v>
      </c>
      <c r="Z16" s="40">
        <v>2</v>
      </c>
      <c r="AA16" s="41"/>
      <c r="AB16" s="39">
        <f t="shared" si="8"/>
        <v>1.2138821630347054</v>
      </c>
      <c r="AC16" s="39">
        <f t="shared" si="8"/>
        <v>1.1412587412587412</v>
      </c>
      <c r="AD16" s="39">
        <f t="shared" si="8"/>
        <v>1.0533245556287032</v>
      </c>
      <c r="AE16" s="37">
        <f>SUM(AB16:AD16)/3</f>
        <v>1.1361551533073833</v>
      </c>
    </row>
    <row r="17" spans="9:31" x14ac:dyDescent="0.25">
      <c r="I17" s="95"/>
      <c r="J17" s="95">
        <v>2</v>
      </c>
      <c r="K17" s="95">
        <v>14</v>
      </c>
      <c r="L17" s="94">
        <v>200</v>
      </c>
      <c r="M17" s="6">
        <f t="shared" si="0"/>
        <v>192.5</v>
      </c>
      <c r="N17" s="6">
        <f t="shared" si="6"/>
        <v>189.875</v>
      </c>
      <c r="O17" s="19">
        <f t="shared" si="7"/>
        <v>1.0533245556287032</v>
      </c>
      <c r="P17" s="98">
        <f>AA25</f>
        <v>1.1359536509592347</v>
      </c>
      <c r="Q17" s="6">
        <f t="shared" si="1"/>
        <v>176.0635214571596</v>
      </c>
      <c r="R17" s="6">
        <f t="shared" si="2"/>
        <v>193.41855413789</v>
      </c>
      <c r="S17" s="6">
        <f t="shared" si="3"/>
        <v>219.71451273619255</v>
      </c>
      <c r="T17" s="9"/>
      <c r="U17" s="9"/>
      <c r="V17" s="9"/>
      <c r="W17" s="6">
        <f t="shared" si="4"/>
        <v>203.40350854074998</v>
      </c>
      <c r="X17" s="6">
        <f t="shared" si="5"/>
        <v>236.02551693163511</v>
      </c>
      <c r="Z17" s="40">
        <v>3</v>
      </c>
      <c r="AA17" s="39">
        <f>AA8</f>
        <v>1.0695187165775402</v>
      </c>
      <c r="AB17" s="38">
        <f t="shared" si="8"/>
        <v>1.0023492560689116</v>
      </c>
      <c r="AC17" s="39">
        <f t="shared" si="8"/>
        <v>1.1021247429746401</v>
      </c>
      <c r="AD17" s="38">
        <f t="shared" si="8"/>
        <v>1.1022964509394573</v>
      </c>
      <c r="AE17" s="37">
        <f>(AA17+AC17)/2</f>
        <v>1.0858217297760901</v>
      </c>
    </row>
    <row r="18" spans="9:31" x14ac:dyDescent="0.25">
      <c r="I18" s="95"/>
      <c r="J18" s="95">
        <v>3</v>
      </c>
      <c r="K18" s="95">
        <v>15</v>
      </c>
      <c r="L18" s="94">
        <v>220</v>
      </c>
      <c r="M18" s="6">
        <f>AVERAGE(L17:L19)</f>
        <v>206.66666666666666</v>
      </c>
      <c r="N18" s="6">
        <f t="shared" si="6"/>
        <v>199.58333333333331</v>
      </c>
      <c r="O18" s="19">
        <f t="shared" si="7"/>
        <v>1.1022964509394573</v>
      </c>
      <c r="P18" s="99">
        <f>AA26</f>
        <v>1.0856291542923777</v>
      </c>
      <c r="Q18" s="6">
        <f t="shared" si="1"/>
        <v>202.6474686407974</v>
      </c>
      <c r="R18" s="6">
        <f t="shared" si="2"/>
        <v>198.2607328266908</v>
      </c>
      <c r="S18" s="6">
        <f t="shared" si="3"/>
        <v>215.23763170802738</v>
      </c>
      <c r="T18" s="9"/>
      <c r="U18" s="9"/>
      <c r="V18" s="9"/>
      <c r="W18" s="6">
        <f t="shared" si="4"/>
        <v>198.92662751258482</v>
      </c>
      <c r="X18" s="6">
        <f t="shared" si="5"/>
        <v>231.54863590346994</v>
      </c>
      <c r="Z18" s="36">
        <v>4</v>
      </c>
      <c r="AA18" s="35">
        <f>AA9</f>
        <v>0.95563139931740615</v>
      </c>
      <c r="AB18" s="34">
        <f t="shared" si="8"/>
        <v>0.96951219512195119</v>
      </c>
      <c r="AC18" s="35">
        <f t="shared" si="8"/>
        <v>0.97814207650273222</v>
      </c>
      <c r="AD18" s="34">
        <f t="shared" si="8"/>
        <v>0.96000000000000008</v>
      </c>
      <c r="AE18" s="33">
        <f>(AB18+AD18)/2</f>
        <v>0.96475609756097569</v>
      </c>
    </row>
    <row r="19" spans="9:31" ht="18" x14ac:dyDescent="0.35">
      <c r="I19" s="95"/>
      <c r="J19" s="95">
        <v>4</v>
      </c>
      <c r="K19" s="95">
        <v>16</v>
      </c>
      <c r="L19" s="94">
        <v>200</v>
      </c>
      <c r="M19" s="6">
        <f>AVERAGE(L18:L19)</f>
        <v>210</v>
      </c>
      <c r="N19" s="6">
        <f t="shared" si="6"/>
        <v>208.33333333333331</v>
      </c>
      <c r="O19" s="19">
        <f t="shared" si="7"/>
        <v>0.96000000000000008</v>
      </c>
      <c r="P19" s="100">
        <f>AA27</f>
        <v>0.96458499362461347</v>
      </c>
      <c r="Q19" s="6">
        <f t="shared" si="1"/>
        <v>207.34305563728662</v>
      </c>
      <c r="R19" s="6">
        <f t="shared" si="2"/>
        <v>203.1029115154916</v>
      </c>
      <c r="S19" s="6">
        <f t="shared" si="3"/>
        <v>195.91002060931089</v>
      </c>
      <c r="T19" s="107" t="s">
        <v>82</v>
      </c>
      <c r="U19" s="107" t="s">
        <v>81</v>
      </c>
      <c r="V19" s="118" t="s">
        <v>80</v>
      </c>
      <c r="W19" s="6">
        <f t="shared" ref="W19" si="9">S19-$T$5*$T$4</f>
        <v>179.59901641386833</v>
      </c>
      <c r="X19" s="6">
        <f t="shared" ref="X19" si="10">S19+$T$5*$T$4</f>
        <v>212.22102480475345</v>
      </c>
      <c r="AD19" s="32" t="s">
        <v>59</v>
      </c>
      <c r="AE19" s="31">
        <f>SUM(AE15:AE18)</f>
        <v>4.0007095442599381</v>
      </c>
    </row>
    <row r="20" spans="9:31" x14ac:dyDescent="0.25">
      <c r="I20" s="96">
        <v>2021</v>
      </c>
      <c r="J20" s="96">
        <v>1</v>
      </c>
      <c r="K20" s="96">
        <v>17</v>
      </c>
      <c r="R20" s="101">
        <f t="shared" si="2"/>
        <v>207.94509020429243</v>
      </c>
      <c r="S20" s="101">
        <f>R20*AA24</f>
        <v>169.23241047384101</v>
      </c>
      <c r="T20" s="113">
        <v>1</v>
      </c>
      <c r="U20" s="65">
        <f>$T$4*SQRT(T20)</f>
        <v>7.6942136054069934</v>
      </c>
      <c r="V20" s="121">
        <f>U20*$T$5</f>
        <v>16.311004195442564</v>
      </c>
      <c r="W20" s="6">
        <f>S20-V20</f>
        <v>152.92140627839845</v>
      </c>
      <c r="X20" s="6">
        <f>S20+V20</f>
        <v>185.54341466928358</v>
      </c>
      <c r="AD20" s="30" t="s">
        <v>58</v>
      </c>
      <c r="AE20" s="29">
        <f>4/AE19</f>
        <v>0.9998226453952509</v>
      </c>
    </row>
    <row r="21" spans="9:31" x14ac:dyDescent="0.25">
      <c r="I21" s="96"/>
      <c r="J21" s="96">
        <v>2</v>
      </c>
      <c r="K21" s="96">
        <v>18</v>
      </c>
      <c r="R21" s="101">
        <f t="shared" si="2"/>
        <v>212.78726889309326</v>
      </c>
      <c r="S21" s="101">
        <f>R21*AA25</f>
        <v>241.71647497675369</v>
      </c>
      <c r="T21" s="114">
        <v>2</v>
      </c>
      <c r="U21" s="65">
        <f t="shared" ref="U21:U23" si="11">$T$4*SQRT(T21)</f>
        <v>10.88126123256216</v>
      </c>
      <c r="V21" s="121">
        <f t="shared" ref="V21:V23" si="12">U21*$T$5</f>
        <v>23.067243349119327</v>
      </c>
      <c r="W21" s="6">
        <f t="shared" ref="W21:W23" si="13">S21-V21</f>
        <v>218.64923162763435</v>
      </c>
      <c r="X21" s="6">
        <f t="shared" ref="X21:X23" si="14">S21+V21</f>
        <v>264.783718325873</v>
      </c>
    </row>
    <row r="22" spans="9:31" x14ac:dyDescent="0.25">
      <c r="I22" s="96"/>
      <c r="J22" s="96">
        <v>3</v>
      </c>
      <c r="K22" s="96">
        <v>19</v>
      </c>
      <c r="R22" s="101">
        <f t="shared" si="2"/>
        <v>217.62944758189406</v>
      </c>
      <c r="S22" s="101">
        <f>R22*AA26</f>
        <v>236.26487312744899</v>
      </c>
      <c r="T22" s="114">
        <v>3</v>
      </c>
      <c r="U22" s="65">
        <f t="shared" si="11"/>
        <v>13.326768888852625</v>
      </c>
      <c r="V22" s="121">
        <f t="shared" si="12"/>
        <v>28.251487988975637</v>
      </c>
      <c r="W22" s="6">
        <f t="shared" si="13"/>
        <v>208.01338513847335</v>
      </c>
      <c r="X22" s="6">
        <f t="shared" si="14"/>
        <v>264.5163611164246</v>
      </c>
      <c r="Z22" s="7" t="s">
        <v>64</v>
      </c>
    </row>
    <row r="23" spans="9:31" x14ac:dyDescent="0.25">
      <c r="I23" s="96"/>
      <c r="J23" s="96">
        <v>4</v>
      </c>
      <c r="K23" s="96">
        <v>20</v>
      </c>
      <c r="R23" s="101">
        <f t="shared" si="2"/>
        <v>222.47162627069488</v>
      </c>
      <c r="S23" s="101">
        <f>R23*AA27</f>
        <v>214.59279220797561</v>
      </c>
      <c r="T23" s="114">
        <v>4</v>
      </c>
      <c r="U23" s="65">
        <f t="shared" si="11"/>
        <v>15.388427210813987</v>
      </c>
      <c r="V23" s="121">
        <f t="shared" si="12"/>
        <v>32.622008390885128</v>
      </c>
      <c r="W23" s="6">
        <f t="shared" si="13"/>
        <v>181.97078381709048</v>
      </c>
      <c r="X23" s="6">
        <f t="shared" si="14"/>
        <v>247.21480059886073</v>
      </c>
      <c r="Z23" s="7" t="s">
        <v>28</v>
      </c>
    </row>
    <row r="24" spans="9:31" x14ac:dyDescent="0.25">
      <c r="J24" s="21"/>
      <c r="K24" s="21"/>
      <c r="Z24" s="95">
        <v>1</v>
      </c>
      <c r="AA24" s="97">
        <f>AE15*$AE$20</f>
        <v>0.81383220112377386</v>
      </c>
    </row>
    <row r="25" spans="9:31" x14ac:dyDescent="0.25">
      <c r="Z25" s="95">
        <v>2</v>
      </c>
      <c r="AA25" s="98">
        <f>AE16*$AE$20</f>
        <v>1.1359536509592347</v>
      </c>
    </row>
    <row r="26" spans="9:31" x14ac:dyDescent="0.25">
      <c r="Z26" s="95">
        <v>3</v>
      </c>
      <c r="AA26" s="99">
        <f>AE17*$AE$20</f>
        <v>1.0856291542923777</v>
      </c>
    </row>
    <row r="27" spans="9:31" x14ac:dyDescent="0.25">
      <c r="Z27" s="95">
        <v>4</v>
      </c>
      <c r="AA27" s="100">
        <f>AE18*$AE$20</f>
        <v>0.96458499362461347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23"/>
  <sheetViews>
    <sheetView workbookViewId="0">
      <selection activeCell="A2" sqref="A2"/>
    </sheetView>
  </sheetViews>
  <sheetFormatPr defaultColWidth="8.85546875" defaultRowHeight="14.25" x14ac:dyDescent="0.2"/>
  <cols>
    <col min="1" max="2" width="8.85546875" style="5"/>
    <col min="3" max="3" width="6.28515625" style="5" customWidth="1"/>
    <col min="4" max="4" width="8.85546875" style="5"/>
    <col min="5" max="8" width="10.7109375" style="5" customWidth="1"/>
    <col min="9" max="9" width="8.140625" style="5" customWidth="1"/>
    <col min="10" max="10" width="8.28515625" style="5" customWidth="1"/>
    <col min="11" max="11" width="11" style="5" bestFit="1" customWidth="1"/>
    <col min="12" max="12" width="7.28515625" style="5" customWidth="1"/>
    <col min="13" max="16384" width="8.85546875" style="5"/>
  </cols>
  <sheetData>
    <row r="1" spans="1:13" ht="15" x14ac:dyDescent="0.25">
      <c r="A1" s="14" t="s">
        <v>169</v>
      </c>
      <c r="B1" s="7"/>
      <c r="C1" s="7"/>
      <c r="D1" s="7"/>
      <c r="E1" s="7"/>
      <c r="L1" s="14"/>
    </row>
    <row r="2" spans="1:13" ht="15" x14ac:dyDescent="0.25">
      <c r="A2" s="7"/>
      <c r="B2" s="7"/>
      <c r="C2" s="7"/>
      <c r="D2" s="7"/>
      <c r="E2" s="8"/>
      <c r="F2" s="18"/>
      <c r="G2" s="18"/>
      <c r="H2" s="18"/>
      <c r="I2" s="18"/>
      <c r="J2" s="18"/>
      <c r="K2" s="18"/>
      <c r="L2" s="14"/>
    </row>
    <row r="3" spans="1:13" ht="19.5" x14ac:dyDescent="0.4">
      <c r="A3" s="102" t="s">
        <v>1</v>
      </c>
      <c r="B3" s="102" t="s">
        <v>28</v>
      </c>
      <c r="C3" s="102" t="s">
        <v>27</v>
      </c>
      <c r="D3" s="102" t="s">
        <v>26</v>
      </c>
      <c r="E3" s="111" t="s">
        <v>25</v>
      </c>
      <c r="F3" s="107" t="s">
        <v>24</v>
      </c>
      <c r="G3" s="107" t="s">
        <v>23</v>
      </c>
      <c r="H3" s="107" t="s">
        <v>22</v>
      </c>
      <c r="I3" s="107" t="s">
        <v>21</v>
      </c>
      <c r="J3" s="15">
        <v>0.5</v>
      </c>
      <c r="K3" s="10" t="s">
        <v>4</v>
      </c>
      <c r="L3" s="14"/>
    </row>
    <row r="4" spans="1:13" ht="15" x14ac:dyDescent="0.25">
      <c r="A4" s="95">
        <v>2017</v>
      </c>
      <c r="B4" s="95">
        <v>1</v>
      </c>
      <c r="C4" s="95">
        <v>1</v>
      </c>
      <c r="D4" s="94">
        <v>100</v>
      </c>
      <c r="E4" s="105"/>
      <c r="F4" s="6"/>
      <c r="G4" s="108">
        <f>D4/AVERAGE($D$4:$D$7)</f>
        <v>0.72727272727272729</v>
      </c>
      <c r="H4" s="94"/>
      <c r="I4" s="94"/>
      <c r="J4" s="15">
        <v>0.5</v>
      </c>
      <c r="K4" s="10" t="s">
        <v>20</v>
      </c>
      <c r="L4" s="14"/>
      <c r="M4" s="16"/>
    </row>
    <row r="5" spans="1:13" ht="15" x14ac:dyDescent="0.25">
      <c r="A5" s="95"/>
      <c r="B5" s="95">
        <v>2</v>
      </c>
      <c r="C5" s="95">
        <v>2</v>
      </c>
      <c r="D5" s="94">
        <v>160</v>
      </c>
      <c r="E5" s="105"/>
      <c r="F5" s="6"/>
      <c r="G5" s="108">
        <f>D5/AVERAGE($D$4:$D$7)</f>
        <v>1.1636363636363636</v>
      </c>
      <c r="H5" s="94"/>
      <c r="I5" s="94"/>
      <c r="J5" s="15">
        <v>0.5</v>
      </c>
      <c r="K5" s="10" t="s">
        <v>19</v>
      </c>
      <c r="L5" s="14"/>
    </row>
    <row r="6" spans="1:13" ht="15" x14ac:dyDescent="0.25">
      <c r="A6" s="95"/>
      <c r="B6" s="95">
        <v>3</v>
      </c>
      <c r="C6" s="95">
        <v>3</v>
      </c>
      <c r="D6" s="94">
        <v>150</v>
      </c>
      <c r="E6" s="105"/>
      <c r="F6" s="6"/>
      <c r="G6" s="108">
        <f>D6/AVERAGE($D$4:$D$7)</f>
        <v>1.0909090909090908</v>
      </c>
      <c r="H6" s="94"/>
      <c r="I6" s="94"/>
      <c r="J6" s="12">
        <f>SUMXMY2(D4:D19,H4:H19)/COUNT(D4:D19)</f>
        <v>201.67542489568697</v>
      </c>
      <c r="K6" s="10" t="s">
        <v>18</v>
      </c>
      <c r="L6" s="7"/>
    </row>
    <row r="7" spans="1:13" ht="15" x14ac:dyDescent="0.25">
      <c r="A7" s="95"/>
      <c r="B7" s="95">
        <v>4</v>
      </c>
      <c r="C7" s="95">
        <v>4</v>
      </c>
      <c r="D7" s="94">
        <v>140</v>
      </c>
      <c r="E7" s="109">
        <f>D7/G7</f>
        <v>137.5</v>
      </c>
      <c r="F7" s="6">
        <v>0</v>
      </c>
      <c r="G7" s="108">
        <f>D7/AVERAGE($D$4:$D$7)</f>
        <v>1.0181818181818181</v>
      </c>
      <c r="H7" s="94"/>
      <c r="I7" s="94"/>
      <c r="J7" s="11">
        <f>SQRT(J6)</f>
        <v>14.201247300701688</v>
      </c>
      <c r="K7" s="10" t="s">
        <v>17</v>
      </c>
    </row>
    <row r="8" spans="1:13" ht="15" x14ac:dyDescent="0.25">
      <c r="A8" s="95">
        <v>2018</v>
      </c>
      <c r="B8" s="95">
        <v>1</v>
      </c>
      <c r="C8" s="95">
        <v>5</v>
      </c>
      <c r="D8" s="94">
        <v>122</v>
      </c>
      <c r="E8" s="109">
        <f t="shared" ref="E8:E19" si="0">$J$3*(D8/G4)+(1-$J$3)*(E7+F7)</f>
        <v>152.625</v>
      </c>
      <c r="F8" s="6">
        <f t="shared" ref="F8:F19" si="1">$J$4*(E8-E7)+(1-$J$4)*F7</f>
        <v>7.5625</v>
      </c>
      <c r="G8" s="108">
        <f t="shared" ref="G8:G19" si="2">$J$5*(D8/E8)+(1-$J$5)*G4</f>
        <v>0.76330876330876329</v>
      </c>
      <c r="H8" s="94">
        <f t="shared" ref="H8:H19" si="3">(E7+F7)*G4</f>
        <v>100</v>
      </c>
      <c r="I8" s="6">
        <f t="shared" ref="I8:I19" si="4">D8-H8</f>
        <v>22</v>
      </c>
      <c r="J8" s="9"/>
      <c r="K8" s="8"/>
    </row>
    <row r="9" spans="1:13" ht="15" x14ac:dyDescent="0.25">
      <c r="A9" s="95"/>
      <c r="B9" s="95">
        <v>2</v>
      </c>
      <c r="C9" s="95">
        <v>6</v>
      </c>
      <c r="D9" s="94">
        <v>188</v>
      </c>
      <c r="E9" s="109">
        <f t="shared" si="0"/>
        <v>160.875</v>
      </c>
      <c r="F9" s="6">
        <f t="shared" si="1"/>
        <v>7.90625</v>
      </c>
      <c r="G9" s="108">
        <f t="shared" si="2"/>
        <v>1.1661227661227662</v>
      </c>
      <c r="H9" s="94">
        <f t="shared" si="3"/>
        <v>186.39999999999998</v>
      </c>
      <c r="I9" s="6">
        <f t="shared" si="4"/>
        <v>1.6000000000000227</v>
      </c>
      <c r="J9" s="9"/>
      <c r="K9" s="8"/>
    </row>
    <row r="10" spans="1:13" ht="15" x14ac:dyDescent="0.25">
      <c r="A10" s="95"/>
      <c r="B10" s="95">
        <v>3</v>
      </c>
      <c r="C10" s="95">
        <v>7</v>
      </c>
      <c r="D10" s="94">
        <v>160</v>
      </c>
      <c r="E10" s="109">
        <f t="shared" si="0"/>
        <v>157.72395833333334</v>
      </c>
      <c r="F10" s="6">
        <f t="shared" si="1"/>
        <v>2.3776041666666714</v>
      </c>
      <c r="G10" s="108">
        <f t="shared" si="2"/>
        <v>1.0526698147475479</v>
      </c>
      <c r="H10" s="94">
        <f t="shared" si="3"/>
        <v>184.125</v>
      </c>
      <c r="I10" s="6">
        <f t="shared" si="4"/>
        <v>-24.125</v>
      </c>
      <c r="J10" s="9"/>
      <c r="K10" s="8"/>
    </row>
    <row r="11" spans="1:13" ht="15" x14ac:dyDescent="0.25">
      <c r="A11" s="95"/>
      <c r="B11" s="95">
        <v>4</v>
      </c>
      <c r="C11" s="95">
        <v>8</v>
      </c>
      <c r="D11" s="94">
        <v>159</v>
      </c>
      <c r="E11" s="109">
        <f t="shared" si="0"/>
        <v>158.13113839285717</v>
      </c>
      <c r="F11" s="6">
        <f t="shared" si="1"/>
        <v>1.3923921130952479</v>
      </c>
      <c r="G11" s="108">
        <f t="shared" si="2"/>
        <v>1.0118381909228535</v>
      </c>
      <c r="H11" s="94">
        <f t="shared" si="3"/>
        <v>163.01249999999999</v>
      </c>
      <c r="I11" s="6">
        <f t="shared" si="4"/>
        <v>-4.0124999999999886</v>
      </c>
      <c r="J11" s="9"/>
      <c r="K11" s="8"/>
    </row>
    <row r="12" spans="1:13" ht="15" x14ac:dyDescent="0.25">
      <c r="A12" s="95">
        <v>2019</v>
      </c>
      <c r="B12" s="95">
        <v>1</v>
      </c>
      <c r="C12" s="95">
        <v>9</v>
      </c>
      <c r="D12" s="94">
        <v>141</v>
      </c>
      <c r="E12" s="109">
        <f t="shared" si="0"/>
        <v>172.12281675512213</v>
      </c>
      <c r="F12" s="6">
        <f t="shared" si="1"/>
        <v>7.6920352376801056</v>
      </c>
      <c r="G12" s="108">
        <f t="shared" si="2"/>
        <v>0.79124563358177624</v>
      </c>
      <c r="H12" s="94">
        <f t="shared" si="3"/>
        <v>121.7657087891463</v>
      </c>
      <c r="I12" s="6">
        <f t="shared" si="4"/>
        <v>19.234291210853698</v>
      </c>
      <c r="J12" s="7"/>
      <c r="K12" s="7"/>
    </row>
    <row r="13" spans="1:13" ht="15" x14ac:dyDescent="0.25">
      <c r="A13" s="95"/>
      <c r="B13" s="95">
        <v>2</v>
      </c>
      <c r="C13" s="95">
        <v>10</v>
      </c>
      <c r="D13" s="94">
        <v>204</v>
      </c>
      <c r="E13" s="109">
        <f t="shared" si="0"/>
        <v>177.3767756765717</v>
      </c>
      <c r="F13" s="6">
        <f t="shared" si="1"/>
        <v>6.4729970795648359</v>
      </c>
      <c r="G13" s="108">
        <f t="shared" si="2"/>
        <v>1.158108480467114</v>
      </c>
      <c r="H13" s="94">
        <f t="shared" si="3"/>
        <v>209.68619259580234</v>
      </c>
      <c r="I13" s="6">
        <f t="shared" si="4"/>
        <v>-5.6861925958023392</v>
      </c>
    </row>
    <row r="14" spans="1:13" ht="15" x14ac:dyDescent="0.25">
      <c r="A14" s="95"/>
      <c r="B14" s="95">
        <v>3</v>
      </c>
      <c r="C14" s="95">
        <v>11</v>
      </c>
      <c r="D14" s="94">
        <v>201</v>
      </c>
      <c r="E14" s="109">
        <f t="shared" si="0"/>
        <v>187.39641846916561</v>
      </c>
      <c r="F14" s="6">
        <f t="shared" si="1"/>
        <v>8.2463199360793737</v>
      </c>
      <c r="G14" s="108">
        <f t="shared" si="2"/>
        <v>1.0626311761124232</v>
      </c>
      <c r="H14" s="94">
        <f t="shared" si="3"/>
        <v>193.53310622858103</v>
      </c>
      <c r="I14" s="6">
        <f t="shared" si="4"/>
        <v>7.4668937714189667</v>
      </c>
    </row>
    <row r="15" spans="1:13" ht="15" x14ac:dyDescent="0.25">
      <c r="A15" s="95"/>
      <c r="B15" s="95">
        <v>4</v>
      </c>
      <c r="C15" s="95">
        <v>12</v>
      </c>
      <c r="D15" s="94">
        <v>179</v>
      </c>
      <c r="E15" s="109">
        <f t="shared" si="0"/>
        <v>186.27424714585464</v>
      </c>
      <c r="F15" s="6">
        <f t="shared" si="1"/>
        <v>3.5620743063842042</v>
      </c>
      <c r="G15" s="108">
        <f t="shared" si="2"/>
        <v>0.98639345716919724</v>
      </c>
      <c r="H15" s="94">
        <f t="shared" si="3"/>
        <v>197.95879449515616</v>
      </c>
      <c r="I15" s="6">
        <f t="shared" si="4"/>
        <v>-18.958794495156155</v>
      </c>
    </row>
    <row r="16" spans="1:13" ht="15" x14ac:dyDescent="0.25">
      <c r="A16" s="95">
        <v>2020</v>
      </c>
      <c r="B16" s="95">
        <v>1</v>
      </c>
      <c r="C16" s="95">
        <v>13</v>
      </c>
      <c r="D16" s="94">
        <v>150</v>
      </c>
      <c r="E16" s="109">
        <f t="shared" si="0"/>
        <v>189.705413656026</v>
      </c>
      <c r="F16" s="6">
        <f t="shared" si="1"/>
        <v>3.4966204082777779</v>
      </c>
      <c r="G16" s="108">
        <f t="shared" si="2"/>
        <v>0.7909726307713687</v>
      </c>
      <c r="H16" s="94">
        <f t="shared" si="3"/>
        <v>150.20716044431046</v>
      </c>
      <c r="I16" s="6">
        <f t="shared" si="4"/>
        <v>-0.20716044431046043</v>
      </c>
    </row>
    <row r="17" spans="1:11" ht="15" x14ac:dyDescent="0.25">
      <c r="A17" s="95"/>
      <c r="B17" s="95">
        <v>2</v>
      </c>
      <c r="C17" s="95">
        <v>14</v>
      </c>
      <c r="D17" s="94">
        <v>200</v>
      </c>
      <c r="E17" s="109">
        <f t="shared" si="0"/>
        <v>182.94871389010581</v>
      </c>
      <c r="F17" s="6">
        <f t="shared" si="1"/>
        <v>-1.6300396788212055</v>
      </c>
      <c r="G17" s="108">
        <f t="shared" si="2"/>
        <v>1.1256555137471183</v>
      </c>
      <c r="H17" s="94">
        <f t="shared" si="3"/>
        <v>223.74891409336644</v>
      </c>
      <c r="I17" s="6">
        <f t="shared" si="4"/>
        <v>-23.748914093366437</v>
      </c>
    </row>
    <row r="18" spans="1:11" ht="15" x14ac:dyDescent="0.25">
      <c r="A18" s="95"/>
      <c r="B18" s="95">
        <v>3</v>
      </c>
      <c r="C18" s="95">
        <v>15</v>
      </c>
      <c r="D18" s="94">
        <v>220</v>
      </c>
      <c r="E18" s="109">
        <f t="shared" si="0"/>
        <v>194.17596872041275</v>
      </c>
      <c r="F18" s="6">
        <f t="shared" si="1"/>
        <v>4.7986075757428708</v>
      </c>
      <c r="G18" s="108">
        <f t="shared" si="2"/>
        <v>1.0978120537356757</v>
      </c>
      <c r="H18" s="94">
        <f t="shared" si="3"/>
        <v>192.67487602828263</v>
      </c>
      <c r="I18" s="6">
        <f t="shared" si="4"/>
        <v>27.325123971717375</v>
      </c>
    </row>
    <row r="19" spans="1:11" ht="15" x14ac:dyDescent="0.25">
      <c r="A19" s="95"/>
      <c r="B19" s="95">
        <v>4</v>
      </c>
      <c r="C19" s="95">
        <v>16</v>
      </c>
      <c r="D19" s="94">
        <v>200</v>
      </c>
      <c r="E19" s="109">
        <f t="shared" si="0"/>
        <v>200.86671161565144</v>
      </c>
      <c r="F19" s="6">
        <f t="shared" si="1"/>
        <v>5.744675235490778</v>
      </c>
      <c r="G19" s="108">
        <f t="shared" si="2"/>
        <v>0.9910392988923411</v>
      </c>
      <c r="H19" s="94">
        <f t="shared" si="3"/>
        <v>196.26722020154114</v>
      </c>
      <c r="I19" s="6">
        <f t="shared" si="4"/>
        <v>3.7327797984588642</v>
      </c>
    </row>
    <row r="20" spans="1:11" ht="15" x14ac:dyDescent="0.25">
      <c r="A20" s="96">
        <v>2021</v>
      </c>
      <c r="B20" s="96">
        <v>1</v>
      </c>
      <c r="C20" s="96">
        <v>17</v>
      </c>
      <c r="D20" s="95"/>
      <c r="E20" s="106"/>
      <c r="F20" s="6"/>
      <c r="G20" s="110">
        <f>$J$5*($D$19/$E$19)+(1-$J$5)*G16</f>
        <v>0.89332888569342694</v>
      </c>
      <c r="H20" s="94">
        <f>($E$19+$F$19)*G16</f>
        <v>163.42395220496894</v>
      </c>
      <c r="I20" s="94"/>
      <c r="K20" s="26"/>
    </row>
    <row r="21" spans="1:11" ht="15" x14ac:dyDescent="0.25">
      <c r="A21" s="96"/>
      <c r="B21" s="96">
        <v>2</v>
      </c>
      <c r="C21" s="96">
        <v>18</v>
      </c>
      <c r="D21" s="95"/>
      <c r="E21" s="106"/>
      <c r="F21" s="6"/>
      <c r="G21" s="110">
        <f>$J$5*($D$19/$E$19)+(1-$J$5)*G17</f>
        <v>1.0606703271813016</v>
      </c>
      <c r="H21" s="94">
        <f>($E$19+$F$19)*G17</f>
        <v>232.57324681192708</v>
      </c>
      <c r="I21" s="94"/>
    </row>
    <row r="22" spans="1:11" ht="15" x14ac:dyDescent="0.25">
      <c r="A22" s="96"/>
      <c r="B22" s="96">
        <v>3</v>
      </c>
      <c r="C22" s="96">
        <v>19</v>
      </c>
      <c r="D22" s="95"/>
      <c r="E22" s="106"/>
      <c r="F22" s="6"/>
      <c r="G22" s="110">
        <f>$J$5*($D$19/$E$19)+(1-$J$5)*G18</f>
        <v>1.0467485971755803</v>
      </c>
      <c r="H22" s="94">
        <f>($E$19+$F$19)*G18</f>
        <v>226.8204709242286</v>
      </c>
      <c r="I22" s="94"/>
    </row>
    <row r="23" spans="1:11" ht="15" x14ac:dyDescent="0.25">
      <c r="A23" s="96"/>
      <c r="B23" s="96">
        <v>4</v>
      </c>
      <c r="C23" s="96">
        <v>20</v>
      </c>
      <c r="D23" s="95"/>
      <c r="E23" s="106"/>
      <c r="F23" s="6"/>
      <c r="G23" s="110">
        <f>$J$5*($D$19/$E$19)+(1-$J$5)*G19</f>
        <v>0.99336221975391314</v>
      </c>
      <c r="H23" s="94">
        <f>($E$19+$F$19)*G19</f>
        <v>204.76000396813023</v>
      </c>
      <c r="I23" s="94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23"/>
  <sheetViews>
    <sheetView workbookViewId="0">
      <selection activeCell="A2" sqref="A2"/>
    </sheetView>
  </sheetViews>
  <sheetFormatPr defaultColWidth="8.85546875" defaultRowHeight="14.25" x14ac:dyDescent="0.2"/>
  <cols>
    <col min="1" max="2" width="8.85546875" style="5"/>
    <col min="3" max="3" width="6.28515625" style="5" customWidth="1"/>
    <col min="4" max="4" width="8.85546875" style="5"/>
    <col min="5" max="8" width="10.7109375" style="5" customWidth="1"/>
    <col min="9" max="9" width="8.140625" style="5" customWidth="1"/>
    <col min="10" max="10" width="8.28515625" style="5" customWidth="1"/>
    <col min="11" max="11" width="11" style="5" bestFit="1" customWidth="1"/>
    <col min="12" max="12" width="7.28515625" style="5" customWidth="1"/>
    <col min="13" max="16384" width="8.85546875" style="5"/>
  </cols>
  <sheetData>
    <row r="1" spans="1:13" ht="15" x14ac:dyDescent="0.25">
      <c r="A1" s="14" t="s">
        <v>170</v>
      </c>
      <c r="B1" s="7"/>
      <c r="C1" s="7"/>
      <c r="D1" s="7"/>
      <c r="E1" s="7"/>
      <c r="L1" s="14"/>
    </row>
    <row r="2" spans="1:13" ht="15" x14ac:dyDescent="0.25">
      <c r="A2" s="7"/>
      <c r="B2" s="7"/>
      <c r="C2" s="7"/>
      <c r="D2" s="7"/>
      <c r="E2" s="8"/>
      <c r="F2" s="18"/>
      <c r="G2" s="18"/>
      <c r="H2" s="18"/>
      <c r="I2" s="18"/>
      <c r="J2" s="18"/>
      <c r="K2" s="18"/>
      <c r="L2" s="14"/>
    </row>
    <row r="3" spans="1:13" ht="19.5" x14ac:dyDescent="0.4">
      <c r="A3" s="102" t="s">
        <v>1</v>
      </c>
      <c r="B3" s="102" t="s">
        <v>28</v>
      </c>
      <c r="C3" s="102" t="s">
        <v>27</v>
      </c>
      <c r="D3" s="102" t="s">
        <v>26</v>
      </c>
      <c r="E3" s="111" t="s">
        <v>25</v>
      </c>
      <c r="F3" s="107" t="s">
        <v>24</v>
      </c>
      <c r="G3" s="107" t="s">
        <v>23</v>
      </c>
      <c r="H3" s="107" t="s">
        <v>22</v>
      </c>
      <c r="I3" s="107" t="s">
        <v>21</v>
      </c>
      <c r="J3" s="15">
        <v>0.31913256529453904</v>
      </c>
      <c r="K3" s="10" t="s">
        <v>4</v>
      </c>
      <c r="L3" s="14"/>
    </row>
    <row r="4" spans="1:13" ht="15" x14ac:dyDescent="0.25">
      <c r="A4" s="95">
        <v>2017</v>
      </c>
      <c r="B4" s="95">
        <v>1</v>
      </c>
      <c r="C4" s="95">
        <v>1</v>
      </c>
      <c r="D4" s="94">
        <v>100</v>
      </c>
      <c r="E4" s="105"/>
      <c r="F4" s="6"/>
      <c r="G4" s="108">
        <f>D4/AVERAGE($D$4:$D$7)</f>
        <v>0.72727272727272729</v>
      </c>
      <c r="H4" s="94"/>
      <c r="I4" s="94"/>
      <c r="J4" s="15">
        <v>0.20369141927551068</v>
      </c>
      <c r="K4" s="10" t="s">
        <v>20</v>
      </c>
      <c r="L4" s="14"/>
      <c r="M4" s="16"/>
    </row>
    <row r="5" spans="1:13" ht="15" x14ac:dyDescent="0.25">
      <c r="A5" s="95"/>
      <c r="B5" s="95">
        <v>2</v>
      </c>
      <c r="C5" s="95">
        <v>2</v>
      </c>
      <c r="D5" s="94">
        <v>160</v>
      </c>
      <c r="E5" s="105"/>
      <c r="F5" s="6"/>
      <c r="G5" s="108">
        <f>D5/AVERAGE($D$4:$D$7)</f>
        <v>1.1636363636363636</v>
      </c>
      <c r="H5" s="94"/>
      <c r="I5" s="94"/>
      <c r="J5" s="15">
        <v>0.43434831122391571</v>
      </c>
      <c r="K5" s="10" t="s">
        <v>19</v>
      </c>
      <c r="L5" s="14"/>
    </row>
    <row r="6" spans="1:13" ht="15" x14ac:dyDescent="0.25">
      <c r="A6" s="95"/>
      <c r="B6" s="95">
        <v>3</v>
      </c>
      <c r="C6" s="95">
        <v>3</v>
      </c>
      <c r="D6" s="94">
        <v>150</v>
      </c>
      <c r="E6" s="105"/>
      <c r="F6" s="6"/>
      <c r="G6" s="108">
        <f>D6/AVERAGE($D$4:$D$7)</f>
        <v>1.0909090909090908</v>
      </c>
      <c r="H6" s="94"/>
      <c r="I6" s="94"/>
      <c r="J6" s="12">
        <f>SUMXMY2(D4:D19,H4:H19)/COUNT(D4:D19)</f>
        <v>153.94021324432501</v>
      </c>
      <c r="K6" s="10" t="s">
        <v>18</v>
      </c>
      <c r="L6" s="7"/>
    </row>
    <row r="7" spans="1:13" ht="15" x14ac:dyDescent="0.25">
      <c r="A7" s="95"/>
      <c r="B7" s="95">
        <v>4</v>
      </c>
      <c r="C7" s="95">
        <v>4</v>
      </c>
      <c r="D7" s="94">
        <v>140</v>
      </c>
      <c r="E7" s="109">
        <f>D7/G7</f>
        <v>137.5</v>
      </c>
      <c r="F7" s="6">
        <v>0</v>
      </c>
      <c r="G7" s="108">
        <f>D7/AVERAGE($D$4:$D$7)</f>
        <v>1.0181818181818181</v>
      </c>
      <c r="H7" s="94"/>
      <c r="I7" s="94"/>
      <c r="J7" s="11">
        <f>SQRT(J6)</f>
        <v>12.407264535115104</v>
      </c>
      <c r="K7" s="10" t="s">
        <v>17</v>
      </c>
    </row>
    <row r="8" spans="1:13" ht="15" x14ac:dyDescent="0.25">
      <c r="A8" s="95">
        <v>2018</v>
      </c>
      <c r="B8" s="95">
        <v>1</v>
      </c>
      <c r="C8" s="95">
        <v>5</v>
      </c>
      <c r="D8" s="94">
        <v>122</v>
      </c>
      <c r="E8" s="109">
        <f t="shared" ref="E8:E19" si="0">$J$3*(D8/G4)+(1-$J$3)*(E7+F7)</f>
        <v>147.15376010015981</v>
      </c>
      <c r="F8" s="6">
        <f t="shared" ref="F8:F19" si="1">$J$4*(E8-E7)+(1-$J$4)*F7</f>
        <v>1.9663880961468487</v>
      </c>
      <c r="G8" s="108">
        <f t="shared" ref="G8:G19" si="2">$J$5*(D8/E8)+(1-$J$5)*G4</f>
        <v>0.77148593422760559</v>
      </c>
      <c r="H8" s="94">
        <f t="shared" ref="H8:H19" si="3">(E7+F7)*G4</f>
        <v>100</v>
      </c>
      <c r="I8" s="6">
        <f t="shared" ref="I8:I19" si="4">D8-H8</f>
        <v>22</v>
      </c>
      <c r="J8" s="9"/>
      <c r="K8" s="8"/>
    </row>
    <row r="9" spans="1:13" ht="15" x14ac:dyDescent="0.25">
      <c r="A9" s="95"/>
      <c r="B9" s="95">
        <v>2</v>
      </c>
      <c r="C9" s="95">
        <v>6</v>
      </c>
      <c r="D9" s="94">
        <v>188</v>
      </c>
      <c r="E9" s="109">
        <f t="shared" si="0"/>
        <v>153.09090784571646</v>
      </c>
      <c r="F9" s="6">
        <f t="shared" si="1"/>
        <v>2.7751977647370589</v>
      </c>
      <c r="G9" s="108">
        <f t="shared" si="2"/>
        <v>1.1916049852080097</v>
      </c>
      <c r="H9" s="94">
        <f t="shared" si="3"/>
        <v>173.52162699206593</v>
      </c>
      <c r="I9" s="6">
        <f t="shared" si="4"/>
        <v>14.478373007934067</v>
      </c>
      <c r="J9" s="9"/>
      <c r="K9" s="8"/>
    </row>
    <row r="10" spans="1:13" ht="15" x14ac:dyDescent="0.25">
      <c r="A10" s="95"/>
      <c r="B10" s="95">
        <v>3</v>
      </c>
      <c r="C10" s="95">
        <v>7</v>
      </c>
      <c r="D10" s="94">
        <v>160</v>
      </c>
      <c r="E10" s="109">
        <f t="shared" si="0"/>
        <v>152.93026506105235</v>
      </c>
      <c r="F10" s="6">
        <f t="shared" si="1"/>
        <v>2.1771922364629406</v>
      </c>
      <c r="G10" s="108">
        <f t="shared" si="2"/>
        <v>1.0715021465357537</v>
      </c>
      <c r="H10" s="94">
        <f t="shared" si="3"/>
        <v>170.03575157504019</v>
      </c>
      <c r="I10" s="6">
        <f t="shared" si="4"/>
        <v>-10.035751575040194</v>
      </c>
      <c r="J10" s="9"/>
      <c r="K10" s="8"/>
    </row>
    <row r="11" spans="1:13" ht="15" x14ac:dyDescent="0.25">
      <c r="A11" s="95"/>
      <c r="B11" s="95">
        <v>4</v>
      </c>
      <c r="C11" s="95">
        <v>8</v>
      </c>
      <c r="D11" s="94">
        <v>159</v>
      </c>
      <c r="E11" s="109">
        <f t="shared" si="0"/>
        <v>155.44358590207364</v>
      </c>
      <c r="F11" s="6">
        <f t="shared" si="1"/>
        <v>2.2456587489845261</v>
      </c>
      <c r="G11" s="108">
        <f t="shared" si="2"/>
        <v>1.020222087884368</v>
      </c>
      <c r="H11" s="94">
        <f t="shared" si="3"/>
        <v>157.92759288474281</v>
      </c>
      <c r="I11" s="6">
        <f t="shared" si="4"/>
        <v>1.0724071152571923</v>
      </c>
      <c r="J11" s="9"/>
      <c r="K11" s="8"/>
    </row>
    <row r="12" spans="1:13" ht="15" x14ac:dyDescent="0.25">
      <c r="A12" s="95">
        <v>2019</v>
      </c>
      <c r="B12" s="95">
        <v>1</v>
      </c>
      <c r="C12" s="95">
        <v>9</v>
      </c>
      <c r="D12" s="94">
        <v>141</v>
      </c>
      <c r="E12" s="109">
        <f t="shared" si="0"/>
        <v>165.6914755132037</v>
      </c>
      <c r="F12" s="6">
        <f t="shared" si="1"/>
        <v>3.8756445106652437</v>
      </c>
      <c r="G12" s="108">
        <f t="shared" si="2"/>
        <v>0.80601370185944898</v>
      </c>
      <c r="H12" s="94">
        <f t="shared" si="3"/>
        <v>121.65503422726707</v>
      </c>
      <c r="I12" s="6">
        <f t="shared" si="4"/>
        <v>19.344965772732934</v>
      </c>
      <c r="J12" s="7"/>
      <c r="K12" s="7"/>
    </row>
    <row r="13" spans="1:13" ht="15" x14ac:dyDescent="0.25">
      <c r="A13" s="95"/>
      <c r="B13" s="95">
        <v>2</v>
      </c>
      <c r="C13" s="95">
        <v>10</v>
      </c>
      <c r="D13" s="94">
        <v>204</v>
      </c>
      <c r="E13" s="109">
        <f t="shared" si="0"/>
        <v>170.08748241654709</v>
      </c>
      <c r="F13" s="6">
        <f t="shared" si="1"/>
        <v>3.981637864967456</v>
      </c>
      <c r="G13" s="108">
        <f t="shared" si="2"/>
        <v>1.1949832636150357</v>
      </c>
      <c r="H13" s="94">
        <f t="shared" si="3"/>
        <v>202.05702554780714</v>
      </c>
      <c r="I13" s="6">
        <f t="shared" si="4"/>
        <v>1.9429744521928569</v>
      </c>
    </row>
    <row r="14" spans="1:13" ht="15" x14ac:dyDescent="0.25">
      <c r="A14" s="95"/>
      <c r="B14" s="95">
        <v>3</v>
      </c>
      <c r="C14" s="95">
        <v>11</v>
      </c>
      <c r="D14" s="94">
        <v>201</v>
      </c>
      <c r="E14" s="109">
        <f t="shared" si="0"/>
        <v>178.38315369035729</v>
      </c>
      <c r="F14" s="6">
        <f t="shared" si="1"/>
        <v>4.8603694528166042</v>
      </c>
      <c r="G14" s="108">
        <f t="shared" si="2"/>
        <v>1.0955154709748771</v>
      </c>
      <c r="H14" s="94">
        <f t="shared" si="3"/>
        <v>186.51543602723314</v>
      </c>
      <c r="I14" s="6">
        <f t="shared" si="4"/>
        <v>14.484563972766864</v>
      </c>
    </row>
    <row r="15" spans="1:13" ht="15" x14ac:dyDescent="0.25">
      <c r="A15" s="95"/>
      <c r="B15" s="95">
        <v>4</v>
      </c>
      <c r="C15" s="95">
        <v>12</v>
      </c>
      <c r="D15" s="94">
        <v>179</v>
      </c>
      <c r="E15" s="109">
        <f t="shared" si="0"/>
        <v>180.75699257208186</v>
      </c>
      <c r="F15" s="6">
        <f t="shared" si="1"/>
        <v>4.3538845117189204</v>
      </c>
      <c r="G15" s="108">
        <f t="shared" si="2"/>
        <v>1.0072167094252433</v>
      </c>
      <c r="H15" s="94">
        <f t="shared" si="3"/>
        <v>186.94908977241636</v>
      </c>
      <c r="I15" s="6">
        <f t="shared" si="4"/>
        <v>-7.9490897724163574</v>
      </c>
    </row>
    <row r="16" spans="1:13" ht="15" x14ac:dyDescent="0.25">
      <c r="A16" s="95">
        <v>2020</v>
      </c>
      <c r="B16" s="95">
        <v>1</v>
      </c>
      <c r="C16" s="95">
        <v>13</v>
      </c>
      <c r="D16" s="94">
        <v>150</v>
      </c>
      <c r="E16" s="109">
        <f t="shared" si="0"/>
        <v>185.42687499915365</v>
      </c>
      <c r="F16" s="6">
        <f t="shared" si="1"/>
        <v>4.418250575585251</v>
      </c>
      <c r="G16" s="108">
        <f t="shared" si="2"/>
        <v>0.80728657036185281</v>
      </c>
      <c r="H16" s="94">
        <f t="shared" si="3"/>
        <v>149.20190329276372</v>
      </c>
      <c r="I16" s="6">
        <f t="shared" si="4"/>
        <v>0.79809670723628301</v>
      </c>
    </row>
    <row r="17" spans="1:11" ht="15" x14ac:dyDescent="0.25">
      <c r="A17" s="95"/>
      <c r="B17" s="95">
        <v>2</v>
      </c>
      <c r="C17" s="95">
        <v>14</v>
      </c>
      <c r="D17" s="94">
        <v>200</v>
      </c>
      <c r="E17" s="109">
        <f t="shared" si="0"/>
        <v>182.67141969466351</v>
      </c>
      <c r="F17" s="6">
        <f t="shared" si="1"/>
        <v>2.9570282434076178</v>
      </c>
      <c r="G17" s="108">
        <f t="shared" si="2"/>
        <v>1.1514957715718894</v>
      </c>
      <c r="H17" s="94">
        <f t="shared" si="3"/>
        <v>226.86174774070778</v>
      </c>
      <c r="I17" s="6">
        <f t="shared" si="4"/>
        <v>-26.861747740707784</v>
      </c>
    </row>
    <row r="18" spans="1:11" ht="15" x14ac:dyDescent="0.25">
      <c r="A18" s="95"/>
      <c r="B18" s="95">
        <v>3</v>
      </c>
      <c r="C18" s="95">
        <v>15</v>
      </c>
      <c r="D18" s="94">
        <v>220</v>
      </c>
      <c r="E18" s="109">
        <f t="shared" si="0"/>
        <v>190.47615416939192</v>
      </c>
      <c r="F18" s="6">
        <f t="shared" si="1"/>
        <v>3.944464405896086</v>
      </c>
      <c r="G18" s="108">
        <f t="shared" si="2"/>
        <v>1.1213525713250116</v>
      </c>
      <c r="H18" s="94">
        <f t="shared" si="3"/>
        <v>203.35883656921146</v>
      </c>
      <c r="I18" s="6">
        <f t="shared" si="4"/>
        <v>16.641163430788538</v>
      </c>
    </row>
    <row r="19" spans="1:11" ht="15" x14ac:dyDescent="0.25">
      <c r="A19" s="95"/>
      <c r="B19" s="95">
        <v>4</v>
      </c>
      <c r="C19" s="95">
        <v>16</v>
      </c>
      <c r="D19" s="94">
        <v>200</v>
      </c>
      <c r="E19" s="109">
        <f t="shared" si="0"/>
        <v>195.74386380817822</v>
      </c>
      <c r="F19" s="6">
        <f t="shared" si="1"/>
        <v>4.2139981054330473</v>
      </c>
      <c r="G19" s="108">
        <f t="shared" si="2"/>
        <v>1.0135263508659917</v>
      </c>
      <c r="H19" s="94">
        <f t="shared" si="3"/>
        <v>195.82369568582195</v>
      </c>
      <c r="I19" s="6">
        <f t="shared" si="4"/>
        <v>4.1763043141780543</v>
      </c>
    </row>
    <row r="20" spans="1:11" ht="15" x14ac:dyDescent="0.25">
      <c r="A20" s="96">
        <v>2021</v>
      </c>
      <c r="B20" s="96">
        <v>1</v>
      </c>
      <c r="C20" s="96">
        <v>17</v>
      </c>
      <c r="D20" s="95"/>
      <c r="E20" s="106"/>
      <c r="F20" s="6"/>
      <c r="G20" s="110">
        <f>$J$5*($D$19/$E$19)+(1-$J$5)*G16</f>
        <v>0.90043553006754751</v>
      </c>
      <c r="H20" s="94">
        <f>($E$19+$F$19)*G16</f>
        <v>161.42329656112818</v>
      </c>
      <c r="I20" s="94"/>
      <c r="K20" s="26"/>
    </row>
    <row r="21" spans="1:11" ht="15" x14ac:dyDescent="0.25">
      <c r="A21" s="96"/>
      <c r="B21" s="96">
        <v>2</v>
      </c>
      <c r="C21" s="96">
        <v>18</v>
      </c>
      <c r="D21" s="95"/>
      <c r="E21" s="106"/>
      <c r="F21" s="6"/>
      <c r="G21" s="110">
        <f>$J$5*($D$19/$E$19)+(1-$J$5)*G17</f>
        <v>1.0951380460242719</v>
      </c>
      <c r="H21" s="94">
        <f>($E$19+$F$19)*G17</f>
        <v>230.25063248607913</v>
      </c>
      <c r="I21" s="94"/>
    </row>
    <row r="22" spans="1:11" ht="15" x14ac:dyDescent="0.25">
      <c r="A22" s="96"/>
      <c r="B22" s="96">
        <v>3</v>
      </c>
      <c r="C22" s="96">
        <v>19</v>
      </c>
      <c r="D22" s="95"/>
      <c r="E22" s="106"/>
      <c r="F22" s="6"/>
      <c r="G22" s="110">
        <f>$J$5*($D$19/$E$19)+(1-$J$5)*G18</f>
        <v>1.0780874938995098</v>
      </c>
      <c r="H22" s="94">
        <f>($E$19+$F$19)*G18</f>
        <v>224.22326261347959</v>
      </c>
      <c r="I22" s="94"/>
    </row>
    <row r="23" spans="1:11" ht="15" x14ac:dyDescent="0.25">
      <c r="A23" s="96"/>
      <c r="B23" s="96">
        <v>4</v>
      </c>
      <c r="C23" s="96">
        <v>20</v>
      </c>
      <c r="D23" s="95"/>
      <c r="E23" s="106"/>
      <c r="F23" s="6"/>
      <c r="G23" s="110">
        <f>$J$5*($D$19/$E$19)+(1-$J$5)*G19</f>
        <v>1.0170954102025227</v>
      </c>
      <c r="H23" s="94">
        <f>($E$19+$F$19)*G19</f>
        <v>202.66256211226829</v>
      </c>
      <c r="I23" s="94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23"/>
  <sheetViews>
    <sheetView workbookViewId="0">
      <selection activeCell="A2" sqref="A2"/>
    </sheetView>
  </sheetViews>
  <sheetFormatPr defaultColWidth="8.85546875" defaultRowHeight="15" x14ac:dyDescent="0.25"/>
  <cols>
    <col min="1" max="2" width="8.85546875" style="5"/>
    <col min="3" max="3" width="6.28515625" style="5" customWidth="1"/>
    <col min="4" max="4" width="8.85546875" style="5" customWidth="1"/>
    <col min="5" max="6" width="10.7109375" style="5" customWidth="1"/>
    <col min="7" max="7" width="15" style="5" customWidth="1"/>
    <col min="8" max="8" width="11" style="5" bestFit="1" customWidth="1"/>
    <col min="9" max="9" width="11" style="5" customWidth="1"/>
    <col min="10" max="11" width="10.7109375" style="7" customWidth="1"/>
    <col min="12" max="12" width="9.42578125" style="5" customWidth="1"/>
    <col min="13" max="16384" width="8.85546875" style="5"/>
  </cols>
  <sheetData>
    <row r="1" spans="1:13" x14ac:dyDescent="0.25">
      <c r="A1" s="14" t="s">
        <v>171</v>
      </c>
      <c r="B1" s="7"/>
      <c r="C1" s="7"/>
      <c r="D1" s="7"/>
      <c r="I1" s="14"/>
      <c r="J1" s="14"/>
      <c r="K1" s="14"/>
    </row>
    <row r="2" spans="1:13" x14ac:dyDescent="0.25">
      <c r="A2" s="7"/>
      <c r="B2" s="7"/>
      <c r="C2" s="7" t="s">
        <v>148</v>
      </c>
      <c r="D2" s="7"/>
      <c r="E2" s="18"/>
      <c r="F2" s="18"/>
      <c r="G2" s="18"/>
      <c r="H2" s="18"/>
      <c r="I2" s="13"/>
      <c r="J2" s="14"/>
      <c r="K2" s="28"/>
    </row>
    <row r="3" spans="1:13" ht="18" x14ac:dyDescent="0.35">
      <c r="A3" s="102" t="s">
        <v>1</v>
      </c>
      <c r="B3" s="102" t="s">
        <v>28</v>
      </c>
      <c r="C3" s="102" t="s">
        <v>27</v>
      </c>
      <c r="D3" s="102" t="s">
        <v>26</v>
      </c>
      <c r="E3" s="107" t="s">
        <v>22</v>
      </c>
      <c r="F3" s="107" t="s">
        <v>21</v>
      </c>
      <c r="G3" s="122">
        <v>0.31913256529453904</v>
      </c>
      <c r="H3" s="10" t="s">
        <v>4</v>
      </c>
      <c r="J3" s="116" t="s">
        <v>29</v>
      </c>
      <c r="K3" s="117" t="s">
        <v>30</v>
      </c>
    </row>
    <row r="4" spans="1:13" x14ac:dyDescent="0.25">
      <c r="A4" s="95">
        <v>2017</v>
      </c>
      <c r="B4" s="95">
        <v>1</v>
      </c>
      <c r="C4" s="95">
        <v>1</v>
      </c>
      <c r="D4" s="94">
        <f>'X11.19'!D4</f>
        <v>100</v>
      </c>
      <c r="E4" s="94"/>
      <c r="F4" s="6"/>
      <c r="G4" s="122">
        <v>0.20369141927551068</v>
      </c>
      <c r="H4" s="10" t="s">
        <v>20</v>
      </c>
      <c r="I4" s="13"/>
      <c r="J4" s="65"/>
      <c r="K4" s="65"/>
      <c r="L4" s="17"/>
      <c r="M4" s="16"/>
    </row>
    <row r="5" spans="1:13" x14ac:dyDescent="0.25">
      <c r="A5" s="95"/>
      <c r="B5" s="95">
        <v>2</v>
      </c>
      <c r="C5" s="95">
        <v>2</v>
      </c>
      <c r="D5" s="94">
        <f>'X11.19'!D5</f>
        <v>160</v>
      </c>
      <c r="E5" s="94"/>
      <c r="F5" s="6"/>
      <c r="G5" s="122">
        <v>0.43434831122391571</v>
      </c>
      <c r="H5" s="10" t="s">
        <v>19</v>
      </c>
      <c r="I5" s="13"/>
      <c r="J5" s="65"/>
      <c r="K5" s="65"/>
    </row>
    <row r="6" spans="1:13" x14ac:dyDescent="0.25">
      <c r="A6" s="95"/>
      <c r="B6" s="95">
        <v>3</v>
      </c>
      <c r="C6" s="95">
        <v>3</v>
      </c>
      <c r="D6" s="94">
        <f>'X11.19'!D6</f>
        <v>150</v>
      </c>
      <c r="E6" s="94"/>
      <c r="F6" s="6"/>
      <c r="G6" s="12">
        <f>SUMXMY2(D8:D19,E8:E19)/COUNT(D8:D19)</f>
        <v>205.2536176591</v>
      </c>
      <c r="H6" s="10" t="s">
        <v>18</v>
      </c>
      <c r="I6" s="7"/>
      <c r="J6" s="65"/>
      <c r="K6" s="65"/>
    </row>
    <row r="7" spans="1:13" x14ac:dyDescent="0.25">
      <c r="A7" s="95"/>
      <c r="B7" s="95">
        <v>4</v>
      </c>
      <c r="C7" s="95">
        <v>4</v>
      </c>
      <c r="D7" s="94">
        <f>'X11.19'!D7</f>
        <v>140</v>
      </c>
      <c r="E7" s="94"/>
      <c r="F7" s="6"/>
      <c r="G7" s="11">
        <f>SQRT(G6)</f>
        <v>14.326675038511203</v>
      </c>
      <c r="H7" s="10" t="s">
        <v>17</v>
      </c>
      <c r="J7" s="65"/>
      <c r="K7" s="65"/>
    </row>
    <row r="8" spans="1:13" x14ac:dyDescent="0.25">
      <c r="A8" s="95">
        <v>2018</v>
      </c>
      <c r="B8" s="95">
        <v>1</v>
      </c>
      <c r="C8" s="95">
        <v>5</v>
      </c>
      <c r="D8" s="94">
        <f>'X11.19'!D8</f>
        <v>122</v>
      </c>
      <c r="E8" s="94">
        <f>'X11.19'!H8</f>
        <v>100</v>
      </c>
      <c r="F8" s="6">
        <f t="shared" ref="F8:F19" si="0">D8-E8</f>
        <v>22</v>
      </c>
      <c r="G8" s="11">
        <f>_xlfn.T.INV.2T(0.05,COUNT(D4:D19))</f>
        <v>2.119905299221255</v>
      </c>
      <c r="H8" s="10" t="s">
        <v>147</v>
      </c>
      <c r="J8" s="65">
        <f>E8-$G$8*$G$7</f>
        <v>69.62880566563922</v>
      </c>
      <c r="K8" s="65">
        <f>E8+$G$8*$G$7</f>
        <v>130.37119433436078</v>
      </c>
    </row>
    <row r="9" spans="1:13" x14ac:dyDescent="0.25">
      <c r="A9" s="95"/>
      <c r="B9" s="95">
        <v>2</v>
      </c>
      <c r="C9" s="95">
        <v>6</v>
      </c>
      <c r="D9" s="94">
        <f>'X11.19'!D9</f>
        <v>188</v>
      </c>
      <c r="E9" s="94">
        <f>'X11.19'!H9</f>
        <v>173.52162699206593</v>
      </c>
      <c r="F9" s="6">
        <f t="shared" si="0"/>
        <v>14.478373007934067</v>
      </c>
      <c r="G9" s="9"/>
      <c r="H9" s="8"/>
      <c r="J9" s="65">
        <f t="shared" ref="J9:J19" si="1">E9-$G$8*$G$7</f>
        <v>143.15043265770515</v>
      </c>
      <c r="K9" s="65">
        <f t="shared" ref="K9:K19" si="2">E9+$G$8*$G$7</f>
        <v>203.89282132642671</v>
      </c>
    </row>
    <row r="10" spans="1:13" x14ac:dyDescent="0.25">
      <c r="A10" s="95"/>
      <c r="B10" s="95">
        <v>3</v>
      </c>
      <c r="C10" s="95">
        <v>7</v>
      </c>
      <c r="D10" s="94">
        <f>'X11.19'!D10</f>
        <v>160</v>
      </c>
      <c r="E10" s="94">
        <f>'X11.19'!H10</f>
        <v>170.03575157504019</v>
      </c>
      <c r="F10" s="6">
        <f t="shared" si="0"/>
        <v>-10.035751575040194</v>
      </c>
      <c r="G10" s="9"/>
      <c r="H10" s="8"/>
      <c r="J10" s="65">
        <f t="shared" si="1"/>
        <v>139.66455724067941</v>
      </c>
      <c r="K10" s="65">
        <f t="shared" si="2"/>
        <v>200.40694590940097</v>
      </c>
    </row>
    <row r="11" spans="1:13" x14ac:dyDescent="0.25">
      <c r="A11" s="95"/>
      <c r="B11" s="95">
        <v>4</v>
      </c>
      <c r="C11" s="95">
        <v>8</v>
      </c>
      <c r="D11" s="94">
        <f>'X11.19'!D11</f>
        <v>159</v>
      </c>
      <c r="E11" s="94">
        <f>'X11.19'!H11</f>
        <v>157.92759288474281</v>
      </c>
      <c r="F11" s="6">
        <f t="shared" si="0"/>
        <v>1.0724071152571923</v>
      </c>
      <c r="G11" s="9"/>
      <c r="H11" s="8"/>
      <c r="J11" s="65">
        <f t="shared" si="1"/>
        <v>127.55639855038203</v>
      </c>
      <c r="K11" s="65">
        <f t="shared" si="2"/>
        <v>188.29878721910359</v>
      </c>
    </row>
    <row r="12" spans="1:13" x14ac:dyDescent="0.25">
      <c r="A12" s="95">
        <v>2019</v>
      </c>
      <c r="B12" s="95">
        <v>1</v>
      </c>
      <c r="C12" s="95">
        <v>9</v>
      </c>
      <c r="D12" s="94">
        <f>'X11.19'!D12</f>
        <v>141</v>
      </c>
      <c r="E12" s="94">
        <f>'X11.19'!H12</f>
        <v>121.65503422726707</v>
      </c>
      <c r="F12" s="6">
        <f t="shared" si="0"/>
        <v>19.344965772732934</v>
      </c>
      <c r="G12" s="7"/>
      <c r="H12" s="7"/>
      <c r="J12" s="65">
        <f t="shared" si="1"/>
        <v>91.283839892906286</v>
      </c>
      <c r="K12" s="65">
        <f t="shared" si="2"/>
        <v>152.02622856162785</v>
      </c>
    </row>
    <row r="13" spans="1:13" x14ac:dyDescent="0.25">
      <c r="A13" s="95"/>
      <c r="B13" s="95">
        <v>2</v>
      </c>
      <c r="C13" s="95">
        <v>10</v>
      </c>
      <c r="D13" s="94">
        <f>'X11.19'!D13</f>
        <v>204</v>
      </c>
      <c r="E13" s="94">
        <f>'X11.19'!H13</f>
        <v>202.05702554780714</v>
      </c>
      <c r="F13" s="6">
        <f t="shared" si="0"/>
        <v>1.9429744521928569</v>
      </c>
      <c r="J13" s="65">
        <f t="shared" si="1"/>
        <v>171.68583121344636</v>
      </c>
      <c r="K13" s="65">
        <f t="shared" si="2"/>
        <v>232.42821988216792</v>
      </c>
    </row>
    <row r="14" spans="1:13" x14ac:dyDescent="0.25">
      <c r="A14" s="95"/>
      <c r="B14" s="95">
        <v>3</v>
      </c>
      <c r="C14" s="95">
        <v>11</v>
      </c>
      <c r="D14" s="94">
        <f>'X11.19'!D14</f>
        <v>201</v>
      </c>
      <c r="E14" s="94">
        <f>'X11.19'!H14</f>
        <v>186.51543602723314</v>
      </c>
      <c r="F14" s="6">
        <f t="shared" si="0"/>
        <v>14.484563972766864</v>
      </c>
      <c r="J14" s="65">
        <f t="shared" si="1"/>
        <v>156.14424169287236</v>
      </c>
      <c r="K14" s="65">
        <f t="shared" si="2"/>
        <v>216.88663036159392</v>
      </c>
    </row>
    <row r="15" spans="1:13" x14ac:dyDescent="0.25">
      <c r="A15" s="95"/>
      <c r="B15" s="95">
        <v>4</v>
      </c>
      <c r="C15" s="95">
        <v>12</v>
      </c>
      <c r="D15" s="94">
        <f>'X11.19'!D15</f>
        <v>179</v>
      </c>
      <c r="E15" s="94">
        <f>'X11.19'!H15</f>
        <v>186.94908977241636</v>
      </c>
      <c r="F15" s="6">
        <f t="shared" si="0"/>
        <v>-7.9490897724163574</v>
      </c>
      <c r="J15" s="65">
        <f t="shared" si="1"/>
        <v>156.57789543805558</v>
      </c>
      <c r="K15" s="65">
        <f t="shared" si="2"/>
        <v>217.32028410677714</v>
      </c>
    </row>
    <row r="16" spans="1:13" x14ac:dyDescent="0.25">
      <c r="A16" s="95">
        <v>2020</v>
      </c>
      <c r="B16" s="95">
        <v>1</v>
      </c>
      <c r="C16" s="95">
        <v>13</v>
      </c>
      <c r="D16" s="94">
        <f>'X11.19'!D16</f>
        <v>150</v>
      </c>
      <c r="E16" s="94">
        <f>'X11.19'!H16</f>
        <v>149.20190329276372</v>
      </c>
      <c r="F16" s="6">
        <f t="shared" si="0"/>
        <v>0.79809670723628301</v>
      </c>
      <c r="J16" s="65">
        <f t="shared" si="1"/>
        <v>118.83070895840294</v>
      </c>
      <c r="K16" s="65">
        <f t="shared" si="2"/>
        <v>179.5730976271245</v>
      </c>
    </row>
    <row r="17" spans="1:11" x14ac:dyDescent="0.25">
      <c r="A17" s="95"/>
      <c r="B17" s="95">
        <v>2</v>
      </c>
      <c r="C17" s="95">
        <v>14</v>
      </c>
      <c r="D17" s="94">
        <f>'X11.19'!D17</f>
        <v>200</v>
      </c>
      <c r="E17" s="94">
        <f>'X11.19'!H17</f>
        <v>226.86174774070778</v>
      </c>
      <c r="F17" s="6">
        <f t="shared" si="0"/>
        <v>-26.861747740707784</v>
      </c>
      <c r="J17" s="65">
        <f t="shared" si="1"/>
        <v>196.490553406347</v>
      </c>
      <c r="K17" s="65">
        <f t="shared" si="2"/>
        <v>257.23294207506854</v>
      </c>
    </row>
    <row r="18" spans="1:11" x14ac:dyDescent="0.25">
      <c r="A18" s="95"/>
      <c r="B18" s="95">
        <v>3</v>
      </c>
      <c r="C18" s="95">
        <v>15</v>
      </c>
      <c r="D18" s="94">
        <f>'X11.19'!D18</f>
        <v>220</v>
      </c>
      <c r="E18" s="94">
        <f>'X11.19'!H18</f>
        <v>203.35883656921146</v>
      </c>
      <c r="F18" s="6">
        <f t="shared" si="0"/>
        <v>16.641163430788538</v>
      </c>
      <c r="J18" s="65">
        <f t="shared" si="1"/>
        <v>172.98764223485068</v>
      </c>
      <c r="K18" s="65">
        <f t="shared" si="2"/>
        <v>233.73003090357224</v>
      </c>
    </row>
    <row r="19" spans="1:11" ht="18" x14ac:dyDescent="0.35">
      <c r="A19" s="95"/>
      <c r="B19" s="95">
        <v>4</v>
      </c>
      <c r="C19" s="95">
        <v>16</v>
      </c>
      <c r="D19" s="94">
        <f>'X11.19'!D19</f>
        <v>200</v>
      </c>
      <c r="E19" s="94">
        <f>'X11.19'!H19</f>
        <v>195.82369568582195</v>
      </c>
      <c r="F19" s="6">
        <f t="shared" si="0"/>
        <v>4.1763043141780543</v>
      </c>
      <c r="G19" s="107" t="s">
        <v>82</v>
      </c>
      <c r="H19" s="107" t="s">
        <v>81</v>
      </c>
      <c r="I19" s="118" t="s">
        <v>80</v>
      </c>
      <c r="J19" s="65">
        <f t="shared" si="1"/>
        <v>165.45250135146117</v>
      </c>
      <c r="K19" s="65">
        <f t="shared" si="2"/>
        <v>226.19489002018273</v>
      </c>
    </row>
    <row r="20" spans="1:11" x14ac:dyDescent="0.25">
      <c r="A20" s="96">
        <v>2021</v>
      </c>
      <c r="B20" s="96">
        <v>1</v>
      </c>
      <c r="C20" s="96">
        <v>21</v>
      </c>
      <c r="D20" s="95"/>
      <c r="E20" s="94">
        <f>'X11.19'!H20</f>
        <v>161.42329656112818</v>
      </c>
      <c r="F20" s="112"/>
      <c r="G20" s="113">
        <v>1</v>
      </c>
      <c r="H20" s="65">
        <f>$G$7*SQRT(G20)</f>
        <v>14.326675038511203</v>
      </c>
      <c r="I20" s="115">
        <f>H20*$G$8</f>
        <v>30.371194334360776</v>
      </c>
      <c r="J20" s="65">
        <f>E20-I20</f>
        <v>131.0521022267674</v>
      </c>
      <c r="K20" s="65">
        <f>E20+I20</f>
        <v>191.79449089548896</v>
      </c>
    </row>
    <row r="21" spans="1:11" x14ac:dyDescent="0.25">
      <c r="A21" s="96"/>
      <c r="B21" s="96">
        <v>2</v>
      </c>
      <c r="C21" s="96">
        <v>22</v>
      </c>
      <c r="D21" s="95"/>
      <c r="E21" s="94">
        <f>'X11.19'!H21</f>
        <v>230.25063248607913</v>
      </c>
      <c r="F21" s="112"/>
      <c r="G21" s="114">
        <v>2</v>
      </c>
      <c r="H21" s="65">
        <f t="shared" ref="H21:H23" si="3">$G$7*SQRT(G21)</f>
        <v>20.260978143174629</v>
      </c>
      <c r="I21" s="115">
        <f t="shared" ref="I21:I23" si="4">H21*$G$8</f>
        <v>42.95135493312192</v>
      </c>
      <c r="J21" s="65">
        <f>E21-I21</f>
        <v>187.29927755295722</v>
      </c>
      <c r="K21" s="65">
        <f>E21+I21</f>
        <v>273.20198741920103</v>
      </c>
    </row>
    <row r="22" spans="1:11" x14ac:dyDescent="0.25">
      <c r="A22" s="96"/>
      <c r="B22" s="96">
        <v>3</v>
      </c>
      <c r="C22" s="96">
        <v>23</v>
      </c>
      <c r="D22" s="95"/>
      <c r="E22" s="94">
        <f>'X11.19'!H22</f>
        <v>224.22326261347959</v>
      </c>
      <c r="F22" s="112"/>
      <c r="G22" s="114">
        <v>3</v>
      </c>
      <c r="H22" s="65">
        <f t="shared" si="3"/>
        <v>24.814529070230204</v>
      </c>
      <c r="I22" s="115">
        <f t="shared" si="4"/>
        <v>52.60445167366089</v>
      </c>
      <c r="J22" s="65">
        <f>E22-I22</f>
        <v>171.6188109398187</v>
      </c>
      <c r="K22" s="65">
        <f>E22+I22</f>
        <v>276.82771428714045</v>
      </c>
    </row>
    <row r="23" spans="1:11" x14ac:dyDescent="0.25">
      <c r="A23" s="96"/>
      <c r="B23" s="96">
        <v>4</v>
      </c>
      <c r="C23" s="96">
        <v>24</v>
      </c>
      <c r="D23" s="95"/>
      <c r="E23" s="94">
        <f>'X11.19'!H23</f>
        <v>202.66256211226829</v>
      </c>
      <c r="F23" s="112"/>
      <c r="G23" s="114">
        <v>4</v>
      </c>
      <c r="H23" s="65">
        <f t="shared" si="3"/>
        <v>28.653350077022406</v>
      </c>
      <c r="I23" s="115">
        <f t="shared" si="4"/>
        <v>60.742388668721553</v>
      </c>
      <c r="J23" s="65">
        <f>E23-I23</f>
        <v>141.92017344354673</v>
      </c>
      <c r="K23" s="65">
        <f>E23+I23</f>
        <v>263.40495078098985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R33"/>
  <sheetViews>
    <sheetView workbookViewId="0">
      <selection activeCell="B1" sqref="B1"/>
    </sheetView>
  </sheetViews>
  <sheetFormatPr defaultColWidth="8.85546875" defaultRowHeight="15" x14ac:dyDescent="0.25"/>
  <cols>
    <col min="1" max="16384" width="8.85546875" style="7"/>
  </cols>
  <sheetData>
    <row r="1" spans="1:18" x14ac:dyDescent="0.25">
      <c r="A1" s="14" t="s">
        <v>172</v>
      </c>
      <c r="J1" s="7" t="s">
        <v>149</v>
      </c>
      <c r="O1" s="7" t="s">
        <v>150</v>
      </c>
    </row>
    <row r="2" spans="1:18" x14ac:dyDescent="0.25">
      <c r="A2" s="7">
        <v>1</v>
      </c>
      <c r="B2" s="64">
        <v>26.21</v>
      </c>
      <c r="C2" s="64">
        <v>11</v>
      </c>
      <c r="D2" s="64">
        <v>36.409999999999997</v>
      </c>
      <c r="E2" s="64">
        <v>21</v>
      </c>
      <c r="F2" s="64">
        <v>29.24</v>
      </c>
      <c r="H2" s="131" t="s">
        <v>0</v>
      </c>
      <c r="I2" s="131" t="s">
        <v>2</v>
      </c>
      <c r="J2" s="131" t="s">
        <v>90</v>
      </c>
      <c r="K2" s="131" t="s">
        <v>89</v>
      </c>
      <c r="L2" s="131" t="s">
        <v>88</v>
      </c>
      <c r="M2" s="131" t="s">
        <v>87</v>
      </c>
      <c r="N2" s="95"/>
      <c r="O2" s="131" t="s">
        <v>86</v>
      </c>
      <c r="P2" s="131" t="s">
        <v>85</v>
      </c>
      <c r="Q2" s="131" t="s">
        <v>84</v>
      </c>
      <c r="R2" s="131" t="s">
        <v>83</v>
      </c>
    </row>
    <row r="3" spans="1:18" x14ac:dyDescent="0.25">
      <c r="A3" s="7">
        <v>2</v>
      </c>
      <c r="B3" s="64">
        <v>25.72</v>
      </c>
      <c r="C3" s="64">
        <v>12</v>
      </c>
      <c r="D3" s="64">
        <v>29.14</v>
      </c>
      <c r="E3" s="64">
        <v>22</v>
      </c>
      <c r="F3" s="64">
        <v>28.75</v>
      </c>
      <c r="H3" s="125">
        <v>1</v>
      </c>
      <c r="I3" s="126">
        <v>26.21</v>
      </c>
      <c r="J3" s="95"/>
      <c r="K3" s="95"/>
      <c r="L3" s="95"/>
      <c r="M3" s="95"/>
      <c r="N3" s="95"/>
      <c r="O3" s="95"/>
      <c r="P3" s="95"/>
      <c r="Q3" s="95"/>
      <c r="R3" s="95"/>
    </row>
    <row r="4" spans="1:18" x14ac:dyDescent="0.25">
      <c r="A4" s="7">
        <v>3</v>
      </c>
      <c r="B4" s="64">
        <v>27.51</v>
      </c>
      <c r="C4" s="64">
        <v>13</v>
      </c>
      <c r="D4" s="64">
        <v>28.42</v>
      </c>
      <c r="E4" s="64">
        <v>23</v>
      </c>
      <c r="F4" s="64">
        <v>28.02</v>
      </c>
      <c r="H4" s="125">
        <v>2</v>
      </c>
      <c r="I4" s="126">
        <v>25.72</v>
      </c>
      <c r="J4" s="95"/>
      <c r="K4" s="95"/>
      <c r="L4" s="95"/>
      <c r="M4" s="95"/>
      <c r="N4" s="95"/>
      <c r="O4" s="95"/>
      <c r="P4" s="95"/>
      <c r="Q4" s="95"/>
      <c r="R4" s="95"/>
    </row>
    <row r="5" spans="1:18" x14ac:dyDescent="0.25">
      <c r="A5" s="7">
        <v>4</v>
      </c>
      <c r="B5" s="64">
        <v>28.32</v>
      </c>
      <c r="C5" s="64">
        <v>14</v>
      </c>
      <c r="D5" s="64">
        <v>28.58</v>
      </c>
      <c r="E5" s="64">
        <v>24</v>
      </c>
      <c r="F5" s="64">
        <v>26.69</v>
      </c>
      <c r="H5" s="125">
        <v>3</v>
      </c>
      <c r="I5" s="126">
        <v>27.51</v>
      </c>
      <c r="J5" s="95"/>
      <c r="K5" s="95"/>
      <c r="L5" s="95"/>
      <c r="M5" s="95"/>
      <c r="N5" s="95"/>
      <c r="O5" s="95"/>
      <c r="P5" s="95"/>
      <c r="Q5" s="95"/>
      <c r="R5" s="95"/>
    </row>
    <row r="6" spans="1:18" x14ac:dyDescent="0.25">
      <c r="A6" s="7">
        <v>5</v>
      </c>
      <c r="B6" s="64">
        <v>28.42</v>
      </c>
      <c r="C6" s="64">
        <v>15</v>
      </c>
      <c r="D6" s="64">
        <v>29.05</v>
      </c>
      <c r="E6" s="64">
        <v>25</v>
      </c>
      <c r="F6" s="64">
        <v>25.08</v>
      </c>
      <c r="H6" s="125">
        <v>4</v>
      </c>
      <c r="I6" s="126">
        <v>28.32</v>
      </c>
      <c r="J6" s="6">
        <f t="shared" ref="J6:J33" si="0">AVERAGE(I3:I5)</f>
        <v>26.48</v>
      </c>
      <c r="K6" s="95"/>
      <c r="L6" s="95"/>
      <c r="M6" s="95"/>
      <c r="N6" s="95"/>
      <c r="O6" s="95"/>
      <c r="P6" s="95"/>
      <c r="Q6" s="95"/>
      <c r="R6" s="95"/>
    </row>
    <row r="7" spans="1:18" x14ac:dyDescent="0.25">
      <c r="A7" s="7">
        <v>6</v>
      </c>
      <c r="B7" s="64">
        <v>28.28</v>
      </c>
      <c r="C7" s="64">
        <v>16</v>
      </c>
      <c r="D7" s="64">
        <v>30.25</v>
      </c>
      <c r="E7" s="64">
        <v>26</v>
      </c>
      <c r="F7" s="64">
        <v>23.39</v>
      </c>
      <c r="H7" s="125">
        <v>5</v>
      </c>
      <c r="I7" s="126">
        <v>28.42</v>
      </c>
      <c r="J7" s="6">
        <f t="shared" si="0"/>
        <v>27.183333333333337</v>
      </c>
      <c r="K7" s="95"/>
      <c r="L7" s="95"/>
      <c r="M7" s="95"/>
      <c r="N7" s="95"/>
      <c r="O7" s="95"/>
      <c r="P7" s="95"/>
      <c r="Q7" s="95"/>
      <c r="R7" s="95"/>
    </row>
    <row r="8" spans="1:18" x14ac:dyDescent="0.25">
      <c r="A8" s="7">
        <v>7</v>
      </c>
      <c r="B8" s="64">
        <v>27.1</v>
      </c>
      <c r="C8" s="64">
        <v>17</v>
      </c>
      <c r="D8" s="64">
        <v>29.42</v>
      </c>
      <c r="E8" s="64">
        <v>27</v>
      </c>
      <c r="F8" s="64">
        <v>22.65</v>
      </c>
      <c r="H8" s="125">
        <v>6</v>
      </c>
      <c r="I8" s="126">
        <v>28.28</v>
      </c>
      <c r="J8" s="6">
        <f t="shared" si="0"/>
        <v>28.083333333333332</v>
      </c>
      <c r="K8" s="6">
        <f t="shared" ref="K8:K33" si="1">AVERAGE(I3:I7)</f>
        <v>27.236000000000001</v>
      </c>
      <c r="L8" s="6"/>
      <c r="M8" s="6"/>
      <c r="N8" s="95"/>
      <c r="O8" s="95"/>
      <c r="P8" s="95"/>
      <c r="Q8" s="95"/>
      <c r="R8" s="95"/>
    </row>
    <row r="9" spans="1:18" x14ac:dyDescent="0.25">
      <c r="A9" s="7">
        <v>8</v>
      </c>
      <c r="B9" s="64">
        <v>32.35</v>
      </c>
      <c r="C9" s="64">
        <v>18</v>
      </c>
      <c r="D9" s="64">
        <v>27.38</v>
      </c>
      <c r="E9" s="64">
        <v>28</v>
      </c>
      <c r="F9" s="64">
        <v>22.02</v>
      </c>
      <c r="H9" s="125">
        <v>7</v>
      </c>
      <c r="I9" s="126">
        <v>27.1</v>
      </c>
      <c r="J9" s="6">
        <f t="shared" si="0"/>
        <v>28.340000000000003</v>
      </c>
      <c r="K9" s="6">
        <f t="shared" si="1"/>
        <v>27.65</v>
      </c>
      <c r="L9" s="6"/>
      <c r="M9" s="6"/>
      <c r="N9" s="95"/>
      <c r="O9" s="6">
        <f t="shared" ref="O9:O33" si="2">AVERAGE(J6:J8)</f>
        <v>27.248888888888889</v>
      </c>
      <c r="P9" s="95"/>
      <c r="Q9" s="95"/>
      <c r="R9" s="95"/>
    </row>
    <row r="10" spans="1:18" x14ac:dyDescent="0.25">
      <c r="A10" s="7">
        <v>9</v>
      </c>
      <c r="B10" s="64">
        <v>35.33</v>
      </c>
      <c r="C10" s="64">
        <v>19</v>
      </c>
      <c r="D10" s="64">
        <v>27.68</v>
      </c>
      <c r="E10" s="64">
        <v>29</v>
      </c>
      <c r="F10" s="64">
        <v>23.39</v>
      </c>
      <c r="H10" s="125">
        <v>8</v>
      </c>
      <c r="I10" s="126">
        <v>32.35</v>
      </c>
      <c r="J10" s="6">
        <f t="shared" si="0"/>
        <v>27.933333333333337</v>
      </c>
      <c r="K10" s="6">
        <f t="shared" si="1"/>
        <v>27.925999999999998</v>
      </c>
      <c r="L10" s="6">
        <f t="shared" ref="L10:L33" si="3">AVERAGE(I3:I9)</f>
        <v>27.365714285714287</v>
      </c>
      <c r="M10" s="6"/>
      <c r="N10" s="95"/>
      <c r="O10" s="6">
        <f t="shared" si="2"/>
        <v>27.86888888888889</v>
      </c>
      <c r="P10" s="95"/>
      <c r="Q10" s="95"/>
      <c r="R10" s="95"/>
    </row>
    <row r="11" spans="1:18" x14ac:dyDescent="0.25">
      <c r="A11" s="7">
        <v>10</v>
      </c>
      <c r="B11" s="64">
        <v>33.35</v>
      </c>
      <c r="C11" s="64">
        <v>20</v>
      </c>
      <c r="D11" s="64">
        <v>30.22</v>
      </c>
      <c r="E11" s="64">
        <v>30</v>
      </c>
      <c r="F11" s="64">
        <v>26.35</v>
      </c>
      <c r="H11" s="125">
        <v>9</v>
      </c>
      <c r="I11" s="126">
        <v>35.33</v>
      </c>
      <c r="J11" s="6">
        <f t="shared" si="0"/>
        <v>29.243333333333336</v>
      </c>
      <c r="K11" s="6">
        <f t="shared" si="1"/>
        <v>28.893999999999998</v>
      </c>
      <c r="L11" s="6">
        <f t="shared" si="3"/>
        <v>28.24285714285714</v>
      </c>
      <c r="M11" s="6"/>
      <c r="N11" s="95"/>
      <c r="O11" s="6">
        <f t="shared" si="2"/>
        <v>28.11888888888889</v>
      </c>
      <c r="P11" s="95"/>
      <c r="Q11" s="95"/>
      <c r="R11" s="95"/>
    </row>
    <row r="12" spans="1:18" x14ac:dyDescent="0.25">
      <c r="H12" s="125">
        <v>10</v>
      </c>
      <c r="I12" s="126">
        <v>33.35</v>
      </c>
      <c r="J12" s="6">
        <f t="shared" si="0"/>
        <v>31.593333333333334</v>
      </c>
      <c r="K12" s="6">
        <f t="shared" si="1"/>
        <v>30.296000000000003</v>
      </c>
      <c r="L12" s="6">
        <f t="shared" si="3"/>
        <v>29.615714285714287</v>
      </c>
      <c r="M12" s="6">
        <f t="shared" ref="M12:M33" si="4">AVERAGE(I3:I11)</f>
        <v>28.804444444444446</v>
      </c>
      <c r="N12" s="95"/>
      <c r="O12" s="6">
        <f t="shared" si="2"/>
        <v>28.50555555555556</v>
      </c>
      <c r="P12" s="95"/>
      <c r="Q12" s="95"/>
      <c r="R12" s="95"/>
    </row>
    <row r="13" spans="1:18" x14ac:dyDescent="0.25">
      <c r="H13" s="125">
        <v>11</v>
      </c>
      <c r="I13" s="126">
        <v>36.409999999999997</v>
      </c>
      <c r="J13" s="6">
        <f t="shared" si="0"/>
        <v>33.676666666666669</v>
      </c>
      <c r="K13" s="6">
        <f t="shared" si="1"/>
        <v>31.282</v>
      </c>
      <c r="L13" s="6">
        <f t="shared" si="3"/>
        <v>30.45</v>
      </c>
      <c r="M13" s="6">
        <f t="shared" si="4"/>
        <v>29.597777777777779</v>
      </c>
      <c r="N13" s="95"/>
      <c r="O13" s="6">
        <f t="shared" si="2"/>
        <v>29.590000000000003</v>
      </c>
      <c r="P13" s="6">
        <f t="shared" ref="P13:P33" si="5">AVERAGE(K8:K12)</f>
        <v>28.400399999999998</v>
      </c>
      <c r="Q13" s="95"/>
      <c r="R13" s="95"/>
    </row>
    <row r="14" spans="1:18" x14ac:dyDescent="0.25">
      <c r="H14" s="125">
        <v>12</v>
      </c>
      <c r="I14" s="126">
        <v>29.14</v>
      </c>
      <c r="J14" s="6">
        <f t="shared" si="0"/>
        <v>35.03</v>
      </c>
      <c r="K14" s="6">
        <f t="shared" si="1"/>
        <v>32.908000000000001</v>
      </c>
      <c r="L14" s="6">
        <f t="shared" si="3"/>
        <v>31.605714285714289</v>
      </c>
      <c r="M14" s="6">
        <f t="shared" si="4"/>
        <v>30.785555555555554</v>
      </c>
      <c r="N14" s="95"/>
      <c r="O14" s="6">
        <f t="shared" si="2"/>
        <v>31.504444444444449</v>
      </c>
      <c r="P14" s="6">
        <f t="shared" si="5"/>
        <v>29.209600000000002</v>
      </c>
      <c r="Q14" s="95"/>
      <c r="R14" s="95"/>
    </row>
    <row r="15" spans="1:18" x14ac:dyDescent="0.25">
      <c r="H15" s="125">
        <v>13</v>
      </c>
      <c r="I15" s="126">
        <v>28.42</v>
      </c>
      <c r="J15" s="6">
        <f t="shared" si="0"/>
        <v>32.966666666666661</v>
      </c>
      <c r="K15" s="6">
        <f t="shared" si="1"/>
        <v>33.315999999999995</v>
      </c>
      <c r="L15" s="6">
        <f t="shared" si="3"/>
        <v>31.708571428571425</v>
      </c>
      <c r="M15" s="6">
        <f t="shared" si="4"/>
        <v>30.966666666666665</v>
      </c>
      <c r="N15" s="95"/>
      <c r="O15" s="6">
        <f t="shared" si="2"/>
        <v>33.433333333333337</v>
      </c>
      <c r="P15" s="6">
        <f t="shared" si="5"/>
        <v>30.261199999999995</v>
      </c>
      <c r="Q15" s="95"/>
      <c r="R15" s="95"/>
    </row>
    <row r="16" spans="1:18" x14ac:dyDescent="0.25">
      <c r="H16" s="125">
        <v>14</v>
      </c>
      <c r="I16" s="126">
        <v>28.58</v>
      </c>
      <c r="J16" s="6">
        <f t="shared" si="0"/>
        <v>31.323333333333334</v>
      </c>
      <c r="K16" s="6">
        <f t="shared" si="1"/>
        <v>32.530000000000008</v>
      </c>
      <c r="L16" s="6">
        <f t="shared" si="3"/>
        <v>31.728571428571431</v>
      </c>
      <c r="M16" s="6">
        <f t="shared" si="4"/>
        <v>30.977777777777778</v>
      </c>
      <c r="N16" s="95"/>
      <c r="O16" s="6">
        <f t="shared" si="2"/>
        <v>33.891111111111115</v>
      </c>
      <c r="P16" s="6">
        <f t="shared" si="5"/>
        <v>31.339199999999998</v>
      </c>
      <c r="Q16" s="95"/>
      <c r="R16" s="95"/>
    </row>
    <row r="17" spans="8:18" x14ac:dyDescent="0.25">
      <c r="H17" s="125">
        <v>15</v>
      </c>
      <c r="I17" s="126">
        <v>29.05</v>
      </c>
      <c r="J17" s="6">
        <f t="shared" si="0"/>
        <v>28.713333333333335</v>
      </c>
      <c r="K17" s="6">
        <f t="shared" si="1"/>
        <v>31.179999999999996</v>
      </c>
      <c r="L17" s="6">
        <f t="shared" si="3"/>
        <v>31.939999999999998</v>
      </c>
      <c r="M17" s="6">
        <f t="shared" si="4"/>
        <v>30.995555555555555</v>
      </c>
      <c r="N17" s="95"/>
      <c r="O17" s="6">
        <f t="shared" si="2"/>
        <v>33.106666666666669</v>
      </c>
      <c r="P17" s="6">
        <f t="shared" si="5"/>
        <v>32.066400000000002</v>
      </c>
      <c r="Q17" s="6">
        <f t="shared" ref="Q17:Q33" si="6">AVERAGE(L10:L16)</f>
        <v>30.102448979591834</v>
      </c>
      <c r="R17" s="95"/>
    </row>
    <row r="18" spans="8:18" x14ac:dyDescent="0.25">
      <c r="H18" s="125">
        <v>16</v>
      </c>
      <c r="I18" s="126">
        <v>30.25</v>
      </c>
      <c r="J18" s="6">
        <f t="shared" si="0"/>
        <v>28.683333333333334</v>
      </c>
      <c r="K18" s="6">
        <f t="shared" si="1"/>
        <v>30.32</v>
      </c>
      <c r="L18" s="6">
        <f t="shared" si="3"/>
        <v>31.468571428571433</v>
      </c>
      <c r="M18" s="6">
        <f t="shared" si="4"/>
        <v>31.081111111111113</v>
      </c>
      <c r="N18" s="95"/>
      <c r="O18" s="6">
        <f t="shared" si="2"/>
        <v>31.001111111111111</v>
      </c>
      <c r="P18" s="6">
        <f t="shared" si="5"/>
        <v>32.243200000000002</v>
      </c>
      <c r="Q18" s="6">
        <f t="shared" si="6"/>
        <v>30.755918367346936</v>
      </c>
      <c r="R18" s="95"/>
    </row>
    <row r="19" spans="8:18" x14ac:dyDescent="0.25">
      <c r="H19" s="125">
        <v>17</v>
      </c>
      <c r="I19" s="126">
        <v>29.42</v>
      </c>
      <c r="J19" s="6">
        <f t="shared" si="0"/>
        <v>29.293333333333333</v>
      </c>
      <c r="K19" s="6">
        <f t="shared" si="1"/>
        <v>29.088000000000001</v>
      </c>
      <c r="L19" s="6">
        <f t="shared" si="3"/>
        <v>30.74285714285714</v>
      </c>
      <c r="M19" s="6">
        <f t="shared" si="4"/>
        <v>31.431111111111111</v>
      </c>
      <c r="N19" s="95"/>
      <c r="O19" s="6">
        <f t="shared" si="2"/>
        <v>29.573333333333334</v>
      </c>
      <c r="P19" s="6">
        <f t="shared" si="5"/>
        <v>32.050799999999995</v>
      </c>
      <c r="Q19" s="6">
        <f t="shared" si="6"/>
        <v>31.216734693877552</v>
      </c>
      <c r="R19" s="95"/>
    </row>
    <row r="20" spans="8:18" x14ac:dyDescent="0.25">
      <c r="H20" s="125">
        <v>18</v>
      </c>
      <c r="I20" s="126">
        <v>27.38</v>
      </c>
      <c r="J20" s="6">
        <f t="shared" si="0"/>
        <v>29.573333333333334</v>
      </c>
      <c r="K20" s="6">
        <f t="shared" si="1"/>
        <v>29.143999999999998</v>
      </c>
      <c r="L20" s="6">
        <f t="shared" si="3"/>
        <v>30.181428571428569</v>
      </c>
      <c r="M20" s="6">
        <f t="shared" si="4"/>
        <v>31.105555555555561</v>
      </c>
      <c r="N20" s="95"/>
      <c r="O20" s="6">
        <f t="shared" si="2"/>
        <v>28.896666666666665</v>
      </c>
      <c r="P20" s="6">
        <f t="shared" si="5"/>
        <v>31.286799999999999</v>
      </c>
      <c r="Q20" s="6">
        <f t="shared" si="6"/>
        <v>31.377755102040815</v>
      </c>
      <c r="R20" s="95"/>
    </row>
    <row r="21" spans="8:18" x14ac:dyDescent="0.25">
      <c r="H21" s="125">
        <v>19</v>
      </c>
      <c r="I21" s="126">
        <v>27.68</v>
      </c>
      <c r="J21" s="6">
        <f t="shared" si="0"/>
        <v>29.016666666666666</v>
      </c>
      <c r="K21" s="6">
        <f t="shared" si="1"/>
        <v>28.936</v>
      </c>
      <c r="L21" s="6">
        <f t="shared" si="3"/>
        <v>28.891428571428573</v>
      </c>
      <c r="M21" s="6">
        <f t="shared" si="4"/>
        <v>30.222222222222221</v>
      </c>
      <c r="N21" s="95"/>
      <c r="O21" s="6">
        <f t="shared" si="2"/>
        <v>29.183333333333334</v>
      </c>
      <c r="P21" s="6">
        <f t="shared" si="5"/>
        <v>30.452400000000001</v>
      </c>
      <c r="Q21" s="6">
        <f t="shared" si="6"/>
        <v>31.339387755102042</v>
      </c>
      <c r="R21" s="6">
        <f t="shared" ref="R21:R33" si="7">AVERAGE(M12:M20)</f>
        <v>30.638395061728399</v>
      </c>
    </row>
    <row r="22" spans="8:18" x14ac:dyDescent="0.25">
      <c r="H22" s="125">
        <v>20</v>
      </c>
      <c r="I22" s="126">
        <v>30.22</v>
      </c>
      <c r="J22" s="6">
        <f t="shared" si="0"/>
        <v>28.159999999999997</v>
      </c>
      <c r="K22" s="6">
        <f t="shared" si="1"/>
        <v>28.756</v>
      </c>
      <c r="L22" s="6">
        <f t="shared" si="3"/>
        <v>28.682857142857141</v>
      </c>
      <c r="M22" s="6">
        <f t="shared" si="4"/>
        <v>29.592222222222219</v>
      </c>
      <c r="N22" s="95"/>
      <c r="O22" s="6">
        <f t="shared" si="2"/>
        <v>29.294444444444441</v>
      </c>
      <c r="P22" s="6">
        <f t="shared" si="5"/>
        <v>29.733600000000003</v>
      </c>
      <c r="Q22" s="6">
        <f t="shared" si="6"/>
        <v>30.951632653061228</v>
      </c>
      <c r="R22" s="6">
        <f t="shared" si="7"/>
        <v>30.795925925925921</v>
      </c>
    </row>
    <row r="23" spans="8:18" x14ac:dyDescent="0.25">
      <c r="H23" s="125">
        <v>21</v>
      </c>
      <c r="I23" s="126">
        <v>29.24</v>
      </c>
      <c r="J23" s="6">
        <f t="shared" si="0"/>
        <v>28.426666666666666</v>
      </c>
      <c r="K23" s="6">
        <f t="shared" si="1"/>
        <v>28.99</v>
      </c>
      <c r="L23" s="6">
        <f t="shared" si="3"/>
        <v>28.94</v>
      </c>
      <c r="M23" s="6">
        <f t="shared" si="4"/>
        <v>28.904444444444444</v>
      </c>
      <c r="N23" s="95"/>
      <c r="O23" s="6">
        <f t="shared" si="2"/>
        <v>28.916666666666668</v>
      </c>
      <c r="P23" s="6">
        <f t="shared" si="5"/>
        <v>29.248799999999999</v>
      </c>
      <c r="Q23" s="6">
        <f t="shared" si="6"/>
        <v>30.519387755102038</v>
      </c>
      <c r="R23" s="6">
        <f t="shared" si="7"/>
        <v>30.795308641975307</v>
      </c>
    </row>
    <row r="24" spans="8:18" x14ac:dyDescent="0.25">
      <c r="H24" s="125">
        <v>22</v>
      </c>
      <c r="I24" s="126">
        <v>28.75</v>
      </c>
      <c r="J24" s="6">
        <f t="shared" si="0"/>
        <v>29.046666666666667</v>
      </c>
      <c r="K24" s="6">
        <f t="shared" si="1"/>
        <v>28.788</v>
      </c>
      <c r="L24" s="6">
        <f t="shared" si="3"/>
        <v>29.034285714285716</v>
      </c>
      <c r="M24" s="6">
        <f t="shared" si="4"/>
        <v>28.915555555555557</v>
      </c>
      <c r="N24" s="95"/>
      <c r="O24" s="6">
        <f t="shared" si="2"/>
        <v>28.534444444444443</v>
      </c>
      <c r="P24" s="6">
        <f t="shared" si="5"/>
        <v>28.982800000000005</v>
      </c>
      <c r="Q24" s="6">
        <f t="shared" si="6"/>
        <v>30.121020408163265</v>
      </c>
      <c r="R24" s="6">
        <f t="shared" si="7"/>
        <v>30.586296296296293</v>
      </c>
    </row>
    <row r="25" spans="8:18" x14ac:dyDescent="0.25">
      <c r="H25" s="125">
        <v>23</v>
      </c>
      <c r="I25" s="126">
        <v>28.02</v>
      </c>
      <c r="J25" s="6">
        <f t="shared" si="0"/>
        <v>29.403333333333332</v>
      </c>
      <c r="K25" s="6">
        <f t="shared" si="1"/>
        <v>28.653999999999996</v>
      </c>
      <c r="L25" s="6">
        <f t="shared" si="3"/>
        <v>28.991428571428571</v>
      </c>
      <c r="M25" s="6">
        <f t="shared" si="4"/>
        <v>28.952222222222229</v>
      </c>
      <c r="N25" s="95"/>
      <c r="O25" s="6">
        <f t="shared" si="2"/>
        <v>28.544444444444441</v>
      </c>
      <c r="P25" s="6">
        <f t="shared" si="5"/>
        <v>28.922800000000002</v>
      </c>
      <c r="Q25" s="6">
        <f t="shared" si="6"/>
        <v>29.705918367346936</v>
      </c>
      <c r="R25" s="6">
        <f t="shared" si="7"/>
        <v>30.358395061728395</v>
      </c>
    </row>
    <row r="26" spans="8:18" x14ac:dyDescent="0.25">
      <c r="H26" s="125">
        <v>24</v>
      </c>
      <c r="I26" s="126">
        <v>26.69</v>
      </c>
      <c r="J26" s="6">
        <f t="shared" si="0"/>
        <v>28.669999999999998</v>
      </c>
      <c r="K26" s="6">
        <f t="shared" si="1"/>
        <v>28.782</v>
      </c>
      <c r="L26" s="6">
        <f t="shared" si="3"/>
        <v>28.672857142857143</v>
      </c>
      <c r="M26" s="6">
        <f t="shared" si="4"/>
        <v>28.89</v>
      </c>
      <c r="N26" s="95"/>
      <c r="O26" s="6">
        <f t="shared" si="2"/>
        <v>28.95888888888889</v>
      </c>
      <c r="P26" s="6">
        <f t="shared" si="5"/>
        <v>28.8248</v>
      </c>
      <c r="Q26" s="6">
        <f t="shared" si="6"/>
        <v>29.352040816326532</v>
      </c>
      <c r="R26" s="6">
        <f t="shared" si="7"/>
        <v>30.13333333333334</v>
      </c>
    </row>
    <row r="27" spans="8:18" x14ac:dyDescent="0.25">
      <c r="H27" s="125">
        <v>25</v>
      </c>
      <c r="I27" s="126">
        <v>25.08</v>
      </c>
      <c r="J27" s="6">
        <f t="shared" si="0"/>
        <v>27.819999999999997</v>
      </c>
      <c r="K27" s="6">
        <f t="shared" si="1"/>
        <v>28.583999999999996</v>
      </c>
      <c r="L27" s="6">
        <f t="shared" si="3"/>
        <v>28.282857142857143</v>
      </c>
      <c r="M27" s="6">
        <f t="shared" si="4"/>
        <v>28.62777777777778</v>
      </c>
      <c r="N27" s="95"/>
      <c r="O27" s="6">
        <f t="shared" si="2"/>
        <v>29.040000000000003</v>
      </c>
      <c r="P27" s="6">
        <f t="shared" si="5"/>
        <v>28.794</v>
      </c>
      <c r="Q27" s="6">
        <f t="shared" si="6"/>
        <v>29.056326530612246</v>
      </c>
      <c r="R27" s="6">
        <f t="shared" si="7"/>
        <v>29.899382716049381</v>
      </c>
    </row>
    <row r="28" spans="8:18" x14ac:dyDescent="0.25">
      <c r="H28" s="125">
        <v>26</v>
      </c>
      <c r="I28" s="126">
        <v>23.39</v>
      </c>
      <c r="J28" s="6">
        <f t="shared" si="0"/>
        <v>26.596666666666664</v>
      </c>
      <c r="K28" s="6">
        <f t="shared" si="1"/>
        <v>27.555999999999994</v>
      </c>
      <c r="L28" s="6">
        <f t="shared" si="3"/>
        <v>27.954285714285714</v>
      </c>
      <c r="M28" s="6">
        <f t="shared" si="4"/>
        <v>28.053333333333335</v>
      </c>
      <c r="N28" s="95"/>
      <c r="O28" s="6">
        <f t="shared" si="2"/>
        <v>28.63111111111111</v>
      </c>
      <c r="P28" s="6">
        <f t="shared" si="5"/>
        <v>28.759599999999995</v>
      </c>
      <c r="Q28" s="6">
        <f t="shared" si="6"/>
        <v>28.78510204081633</v>
      </c>
      <c r="R28" s="6">
        <f t="shared" si="7"/>
        <v>29.626790123456789</v>
      </c>
    </row>
    <row r="29" spans="8:18" x14ac:dyDescent="0.25">
      <c r="H29" s="125">
        <v>27</v>
      </c>
      <c r="I29" s="126">
        <v>22.65</v>
      </c>
      <c r="J29" s="6">
        <f t="shared" si="0"/>
        <v>25.053333333333331</v>
      </c>
      <c r="K29" s="6">
        <f t="shared" si="1"/>
        <v>26.386000000000003</v>
      </c>
      <c r="L29" s="6">
        <f t="shared" si="3"/>
        <v>27.341428571428569</v>
      </c>
      <c r="M29" s="6">
        <f t="shared" si="4"/>
        <v>27.383333333333333</v>
      </c>
      <c r="N29" s="95"/>
      <c r="O29" s="6">
        <f t="shared" si="2"/>
        <v>27.695555555555554</v>
      </c>
      <c r="P29" s="6">
        <f t="shared" si="5"/>
        <v>28.472799999999996</v>
      </c>
      <c r="Q29" s="6">
        <f t="shared" si="6"/>
        <v>28.651224489795919</v>
      </c>
      <c r="R29" s="6">
        <f t="shared" si="7"/>
        <v>29.251481481481488</v>
      </c>
    </row>
    <row r="30" spans="8:18" x14ac:dyDescent="0.25">
      <c r="H30" s="125">
        <v>28</v>
      </c>
      <c r="I30" s="126">
        <v>22.02</v>
      </c>
      <c r="J30" s="6">
        <f t="shared" si="0"/>
        <v>23.706666666666667</v>
      </c>
      <c r="K30" s="6">
        <f t="shared" si="1"/>
        <v>25.165999999999997</v>
      </c>
      <c r="L30" s="6">
        <f t="shared" si="3"/>
        <v>26.259999999999994</v>
      </c>
      <c r="M30" s="6">
        <f t="shared" si="4"/>
        <v>26.857777777777777</v>
      </c>
      <c r="N30" s="95"/>
      <c r="O30" s="6">
        <f t="shared" si="2"/>
        <v>26.489999999999995</v>
      </c>
      <c r="P30" s="6">
        <f t="shared" si="5"/>
        <v>27.992399999999996</v>
      </c>
      <c r="Q30" s="6">
        <f t="shared" si="6"/>
        <v>28.459591836734692</v>
      </c>
      <c r="R30" s="6">
        <f t="shared" si="7"/>
        <v>28.837901234567905</v>
      </c>
    </row>
    <row r="31" spans="8:18" x14ac:dyDescent="0.25">
      <c r="H31" s="125">
        <v>29</v>
      </c>
      <c r="I31" s="126">
        <v>23.39</v>
      </c>
      <c r="J31" s="6">
        <f t="shared" si="0"/>
        <v>22.686666666666667</v>
      </c>
      <c r="K31" s="6">
        <f t="shared" si="1"/>
        <v>23.966000000000001</v>
      </c>
      <c r="L31" s="6">
        <f t="shared" si="3"/>
        <v>25.228571428571431</v>
      </c>
      <c r="M31" s="6">
        <f t="shared" si="4"/>
        <v>26.228888888888889</v>
      </c>
      <c r="N31" s="95"/>
      <c r="O31" s="6">
        <f t="shared" si="2"/>
        <v>25.118888888888886</v>
      </c>
      <c r="P31" s="6">
        <f t="shared" si="5"/>
        <v>27.294799999999999</v>
      </c>
      <c r="Q31" s="6">
        <f t="shared" si="6"/>
        <v>28.076734693877547</v>
      </c>
      <c r="R31" s="6">
        <f t="shared" si="7"/>
        <v>28.464074074074077</v>
      </c>
    </row>
    <row r="32" spans="8:18" x14ac:dyDescent="0.25">
      <c r="H32" s="125">
        <v>30</v>
      </c>
      <c r="I32" s="126">
        <v>26.35</v>
      </c>
      <c r="J32" s="6">
        <f t="shared" si="0"/>
        <v>22.686666666666667</v>
      </c>
      <c r="K32" s="6">
        <f t="shared" si="1"/>
        <v>23.306000000000001</v>
      </c>
      <c r="L32" s="6">
        <f t="shared" si="3"/>
        <v>24.462857142857143</v>
      </c>
      <c r="M32" s="6">
        <f t="shared" si="4"/>
        <v>25.469999999999995</v>
      </c>
      <c r="N32" s="95"/>
      <c r="O32" s="6">
        <f t="shared" si="2"/>
        <v>23.815555555555552</v>
      </c>
      <c r="P32" s="6">
        <f t="shared" si="5"/>
        <v>26.331599999999998</v>
      </c>
      <c r="Q32" s="6">
        <f t="shared" si="6"/>
        <v>27.533061224489792</v>
      </c>
      <c r="R32" s="6">
        <f t="shared" si="7"/>
        <v>28.090370370370373</v>
      </c>
    </row>
    <row r="33" spans="8:18" x14ac:dyDescent="0.25">
      <c r="H33" s="95"/>
      <c r="I33" s="95"/>
      <c r="J33" s="6">
        <f t="shared" si="0"/>
        <v>23.919999999999998</v>
      </c>
      <c r="K33" s="6">
        <f t="shared" si="1"/>
        <v>23.560000000000002</v>
      </c>
      <c r="L33" s="6">
        <f t="shared" si="3"/>
        <v>24.224285714285713</v>
      </c>
      <c r="M33" s="6">
        <f t="shared" si="4"/>
        <v>25.148888888888891</v>
      </c>
      <c r="N33" s="95"/>
      <c r="O33" s="6">
        <f t="shared" si="2"/>
        <v>23.026666666666667</v>
      </c>
      <c r="P33" s="6">
        <f t="shared" si="5"/>
        <v>25.275999999999996</v>
      </c>
      <c r="Q33" s="6">
        <f t="shared" si="6"/>
        <v>26.886122448979588</v>
      </c>
      <c r="R33" s="6">
        <f t="shared" si="7"/>
        <v>27.708765432098765</v>
      </c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51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X11.1-5</vt:lpstr>
      <vt:lpstr>X11.6-10</vt:lpstr>
      <vt:lpstr>X11.11-15</vt:lpstr>
      <vt:lpstr>X11.16</vt:lpstr>
      <vt:lpstr>X11.17</vt:lpstr>
      <vt:lpstr>X11.18</vt:lpstr>
      <vt:lpstr>X11.19</vt:lpstr>
      <vt:lpstr>X11.20</vt:lpstr>
      <vt:lpstr>TU11.1</vt:lpstr>
      <vt:lpstr>TU11.2</vt:lpstr>
      <vt:lpstr>TU11.3</vt:lpstr>
      <vt:lpstr>TU11.4</vt:lpstr>
      <vt:lpstr>TU11.5</vt:lpstr>
      <vt:lpstr>TU11.6</vt:lpstr>
    </vt:vector>
  </TitlesOfParts>
  <Company>Rosemount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cp:lastPrinted>2018-01-29T18:48:10Z</cp:lastPrinted>
  <dcterms:created xsi:type="dcterms:W3CDTF">2008-05-26T18:09:52Z</dcterms:created>
  <dcterms:modified xsi:type="dcterms:W3CDTF">2020-09-28T15:30:18Z</dcterms:modified>
</cp:coreProperties>
</file>